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ummary Data" sheetId="1" r:id="rId1"/>
    <sheet name="Helicopter Data" sheetId="2" r:id="rId2"/>
    <sheet name="AH-64D" sheetId="3" r:id="rId3"/>
    <sheet name="UH-60A" sheetId="4" r:id="rId4"/>
    <sheet name="CH-47D" sheetId="5" r:id="rId5"/>
    <sheet name="OH-6A(MD-500)" sheetId="6" r:id="rId6"/>
    <sheet name="TH-55A(Hughes 269A)" sheetId="7" r:id="rId7"/>
    <sheet name="R-22" sheetId="8" r:id="rId8"/>
  </sheets>
  <definedNames>
    <definedName name="solver_adj" localSheetId="1" hidden="1">'Helicopter Data'!$AL$11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'Helicopter Data'!$AK$11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</definedNames>
  <calcPr fullCalcOnLoad="1"/>
</workbook>
</file>

<file path=xl/comments2.xml><?xml version="1.0" encoding="utf-8"?>
<comments xmlns="http://schemas.openxmlformats.org/spreadsheetml/2006/main">
  <authors>
    <author>Michael Duffy</author>
  </authors>
  <commentList>
    <comment ref="D24" authorId="0">
      <text>
        <r>
          <rPr>
            <b/>
            <sz val="10"/>
            <rFont val="Tahoma"/>
            <family val="0"/>
          </rPr>
          <t>Michael Duffy:</t>
        </r>
        <r>
          <rPr>
            <sz val="10"/>
            <rFont val="Tahoma"/>
            <family val="0"/>
          </rPr>
          <t xml:space="preserve">
oge 35 deg C</t>
        </r>
      </text>
    </comment>
    <comment ref="F24" authorId="0">
      <text>
        <r>
          <rPr>
            <b/>
            <sz val="10"/>
            <rFont val="Tahoma"/>
            <family val="0"/>
          </rPr>
          <t>Michael Duffy:</t>
        </r>
        <r>
          <rPr>
            <sz val="10"/>
            <rFont val="Tahoma"/>
            <family val="0"/>
          </rPr>
          <t xml:space="preserve">
Max internal fuel, 30 min reserve, 368 miles</t>
        </r>
      </text>
    </comment>
    <comment ref="G23" authorId="0">
      <text>
        <r>
          <rPr>
            <b/>
            <sz val="10"/>
            <rFont val="Tahoma"/>
            <family val="0"/>
          </rPr>
          <t>Michael Duffy:</t>
        </r>
        <r>
          <rPr>
            <sz val="10"/>
            <rFont val="Tahoma"/>
            <family val="0"/>
          </rPr>
          <t xml:space="preserve">
internal fuel, L config</t>
        </r>
      </text>
    </comment>
    <comment ref="BC10" authorId="0">
      <text>
        <r>
          <rPr>
            <b/>
            <sz val="10"/>
            <rFont val="Tahoma"/>
            <family val="0"/>
          </rPr>
          <t>Michael Duffy:</t>
        </r>
        <r>
          <rPr>
            <sz val="10"/>
            <rFont val="Tahoma"/>
            <family val="0"/>
          </rPr>
          <t xml:space="preserve">
VBE = 65 knts</t>
        </r>
      </text>
    </comment>
    <comment ref="BC11" authorId="0">
      <text>
        <r>
          <rPr>
            <b/>
            <sz val="10"/>
            <rFont val="Tahoma"/>
            <family val="0"/>
          </rPr>
          <t>Michael Duffy:</t>
        </r>
        <r>
          <rPr>
            <sz val="10"/>
            <rFont val="Tahoma"/>
            <family val="0"/>
          </rPr>
          <t xml:space="preserve">
VBE = 72 knts
</t>
        </r>
      </text>
    </comment>
    <comment ref="BD10" authorId="0">
      <text>
        <r>
          <rPr>
            <b/>
            <sz val="10"/>
            <rFont val="Tahoma"/>
            <family val="0"/>
          </rPr>
          <t>Michael Duffy:</t>
        </r>
        <r>
          <rPr>
            <sz val="10"/>
            <rFont val="Tahoma"/>
            <family val="0"/>
          </rPr>
          <t xml:space="preserve">
VBR = 100 knts</t>
        </r>
      </text>
    </comment>
    <comment ref="BD11" authorId="0">
      <text>
        <r>
          <rPr>
            <b/>
            <sz val="10"/>
            <rFont val="Tahoma"/>
            <family val="0"/>
          </rPr>
          <t>Michael Duffy:</t>
        </r>
        <r>
          <rPr>
            <sz val="10"/>
            <rFont val="Tahoma"/>
            <family val="0"/>
          </rPr>
          <t xml:space="preserve">
VBR = 108 knts
</t>
        </r>
      </text>
    </comment>
    <comment ref="BE10" authorId="0">
      <text>
        <r>
          <rPr>
            <b/>
            <sz val="10"/>
            <rFont val="Tahoma"/>
            <family val="0"/>
          </rPr>
          <t>Michael Duffy:</t>
        </r>
        <r>
          <rPr>
            <sz val="10"/>
            <rFont val="Tahoma"/>
            <family val="0"/>
          </rPr>
          <t xml:space="preserve">
only use the cruise avaliable fuel, not the fuel capacity</t>
        </r>
      </text>
    </comment>
    <comment ref="BE11" authorId="0">
      <text>
        <r>
          <rPr>
            <b/>
            <sz val="10"/>
            <rFont val="Tahoma"/>
            <family val="0"/>
          </rPr>
          <t>Michael Duffy:</t>
        </r>
        <r>
          <rPr>
            <sz val="10"/>
            <rFont val="Tahoma"/>
            <family val="0"/>
          </rPr>
          <t xml:space="preserve">
only use the cruise avaliable fuel, not the fuel capacity</t>
        </r>
      </text>
    </comment>
  </commentList>
</comments>
</file>

<file path=xl/sharedStrings.xml><?xml version="1.0" encoding="utf-8"?>
<sst xmlns="http://schemas.openxmlformats.org/spreadsheetml/2006/main" count="334" uniqueCount="184">
  <si>
    <t>R-22 Beta</t>
  </si>
  <si>
    <t>Hughes 269A</t>
  </si>
  <si>
    <t>Black Hawk UH-60A</t>
  </si>
  <si>
    <t>fe</t>
  </si>
  <si>
    <t>(hp)</t>
  </si>
  <si>
    <t>Tail Rotor Distance</t>
  </si>
  <si>
    <t>GW</t>
  </si>
  <si>
    <t>WE</t>
  </si>
  <si>
    <t>Apache AH-64D</t>
  </si>
  <si>
    <t>source: www.globalsecurity.org</t>
  </si>
  <si>
    <t>Specifications:</t>
  </si>
  <si>
    <t>Crew: Two</t>
  </si>
  <si>
    <t xml:space="preserve">Powerplant: One 180 h.p. Lycoming HIO-360-B1A </t>
  </si>
  <si>
    <r>
      <t>Length: (Rotors Turning) 28 ft. 10</t>
    </r>
    <r>
      <rPr>
        <vertAlign val="superscript"/>
        <sz val="10"/>
        <color indexed="12"/>
        <rFont val="Trebuchet MS"/>
        <family val="2"/>
      </rPr>
      <t>3/4</t>
    </r>
    <r>
      <rPr>
        <sz val="10"/>
        <color indexed="12"/>
        <rFont val="Trebuchet MS"/>
        <family val="2"/>
      </rPr>
      <t xml:space="preserve"> in.</t>
    </r>
  </si>
  <si>
    <r>
      <t>Height: 8 ft. 2</t>
    </r>
    <r>
      <rPr>
        <vertAlign val="superscript"/>
        <sz val="10"/>
        <color indexed="12"/>
        <rFont val="Trebuchet MS"/>
        <family val="2"/>
      </rPr>
      <t>3/4</t>
    </r>
    <r>
      <rPr>
        <sz val="10"/>
        <color indexed="12"/>
        <rFont val="Trebuchet MS"/>
        <family val="2"/>
      </rPr>
      <t xml:space="preserve"> in. </t>
    </r>
  </si>
  <si>
    <t>Weight Empty: 1,008 lbs.</t>
  </si>
  <si>
    <t>Weight Maximum: 1,850 lbs.</t>
  </si>
  <si>
    <t>Performance:</t>
  </si>
  <si>
    <t>Max Cruise: 75 m.p.h.</t>
  </si>
  <si>
    <t>Range With No Reserve: 204 miles</t>
  </si>
  <si>
    <t>http://www.hothelicopters.com/schweizerfltman.htm</t>
  </si>
  <si>
    <t>Source: www.globalsecurity.org</t>
  </si>
  <si>
    <t>CH-47 D</t>
  </si>
  <si>
    <t>(ft)</t>
  </si>
  <si>
    <t>(lbs)</t>
  </si>
  <si>
    <t>(sq.ft.)</t>
  </si>
  <si>
    <t>Main Rotor Dia.</t>
  </si>
  <si>
    <t>Tail Rotor Dia.</t>
  </si>
  <si>
    <t>Max Power (SHP)</t>
  </si>
  <si>
    <t>Main Rotor Area</t>
  </si>
  <si>
    <t>Tail Rotor Area</t>
  </si>
  <si>
    <t>Fuel</t>
  </si>
  <si>
    <t>Max Disk Loading</t>
  </si>
  <si>
    <t>(lb/sq.ft.)</t>
  </si>
  <si>
    <t>Max Speed</t>
  </si>
  <si>
    <t>(kts)</t>
  </si>
  <si>
    <t>Service Ceiling</t>
  </si>
  <si>
    <t>MCP (SHP)</t>
  </si>
  <si>
    <t>[edit] General characteristics</t>
  </si>
  <si>
    <t xml:space="preserve">Crew: one pilot </t>
  </si>
  <si>
    <t xml:space="preserve">Capacity: one passenger </t>
  </si>
  <si>
    <t xml:space="preserve">Length: 28 ft 8 in (8.74 m) overall </t>
  </si>
  <si>
    <t xml:space="preserve">Width: 5 ft 8 in (1.73 m) at landing skids </t>
  </si>
  <si>
    <t xml:space="preserve">Main rotor radius: 12 ft 7 in (3.84 m) </t>
  </si>
  <si>
    <t xml:space="preserve">Height: 8 ft 11 in (2.72 m) </t>
  </si>
  <si>
    <t xml:space="preserve">Main rotor area: 497 ft2 (46.2 m2) </t>
  </si>
  <si>
    <t xml:space="preserve">Empty weight: 796 lb (389 kg) </t>
  </si>
  <si>
    <t xml:space="preserve">Minimum gross weight: 920 lb (450 kg) </t>
  </si>
  <si>
    <t xml:space="preserve">Maximum gross weight: 1?300 lb (635 kg) </t>
  </si>
  <si>
    <t xml:space="preserve">Powerplant: Lycoming O-320-A2B or -A2C, derated to 124 hp (93 kW) at 2?652 rpm, continuous </t>
  </si>
  <si>
    <t xml:space="preserve">Main tank total capacity: 19.8 US gallons (75 liters) </t>
  </si>
  <si>
    <t xml:space="preserve">Main tank usable capacity: 19.2 US gallons (73 liters) </t>
  </si>
  <si>
    <t xml:space="preserve">Optional aux tank total capacity: 10.9 US gallons (41 liters) </t>
  </si>
  <si>
    <t xml:space="preserve">Optional aux tank usable capacity: 10.5 US gallons (40 liters) </t>
  </si>
  <si>
    <t>[edit] Performance</t>
  </si>
  <si>
    <t xml:space="preserve">Maximum speed: 102 KIAS (117 mph or 189 km/h) </t>
  </si>
  <si>
    <t xml:space="preserve">Range: 240 miles (386 km) </t>
  </si>
  <si>
    <t xml:space="preserve">Endurance: approx. 2 hours, with 30-minute reserve </t>
  </si>
  <si>
    <t xml:space="preserve">Service ceiling: 14?000 ft (4?267 m) </t>
  </si>
  <si>
    <t xml:space="preserve">Rate of climb: 1?200 ft/min (366 m/min) </t>
  </si>
  <si>
    <t xml:space="preserve">Main rotor loading: 2.61 lb/ft² (13.7 kg/m²) </t>
  </si>
  <si>
    <t xml:space="preserve">Power/Weight: 0.095 hp/lb (0.147 kW/kg) </t>
  </si>
  <si>
    <t>-</t>
  </si>
  <si>
    <t>OH-6A (MD 500 E)</t>
  </si>
  <si>
    <t>Hover Ceiling (OGE)</t>
  </si>
  <si>
    <t>Calculated</t>
  </si>
  <si>
    <t>Input Data</t>
  </si>
  <si>
    <t>P_i</t>
  </si>
  <si>
    <t>P_0</t>
  </si>
  <si>
    <t>Alt</t>
  </si>
  <si>
    <t>lb/ft^3</t>
  </si>
  <si>
    <t>Density</t>
  </si>
  <si>
    <t>(ft/s)</t>
  </si>
  <si>
    <t>Ω*R Main Rotor</t>
  </si>
  <si>
    <t>Ω*R Tail Rotor</t>
  </si>
  <si>
    <t>Kappa</t>
  </si>
  <si>
    <t>Cd_0</t>
  </si>
  <si>
    <t>HP</t>
  </si>
  <si>
    <t>Max Power (RHP)</t>
  </si>
  <si>
    <t>MR Chrod</t>
  </si>
  <si>
    <t>TR Chord</t>
  </si>
  <si>
    <t>MR Solidity</t>
  </si>
  <si>
    <t>TR Solidity</t>
  </si>
  <si>
    <t>Main Source of Data is Janes "All the worlds aircraft", Second Source is www.globalsecurity.org</t>
  </si>
  <si>
    <t>Forward Speed</t>
  </si>
  <si>
    <t>ft/s</t>
  </si>
  <si>
    <t>T_tr</t>
  </si>
  <si>
    <t>lbs</t>
  </si>
  <si>
    <t>Vertical Speed</t>
  </si>
  <si>
    <t>P_p
Parasite</t>
  </si>
  <si>
    <t>P_c
Climb</t>
  </si>
  <si>
    <t>K</t>
  </si>
  <si>
    <t>μ, advance ratio</t>
  </si>
  <si>
    <t>knots</t>
  </si>
  <si>
    <t>Ω Main Rotor</t>
  </si>
  <si>
    <t>rad/s</t>
  </si>
  <si>
    <t>P_Total</t>
  </si>
  <si>
    <t>MCP (RHP)</t>
  </si>
  <si>
    <t>Forward Velocity</t>
  </si>
  <si>
    <t>Drag</t>
  </si>
  <si>
    <t>Alpha_TPP</t>
  </si>
  <si>
    <t>rad.</t>
  </si>
  <si>
    <t>deg.</t>
  </si>
  <si>
    <t>Thrust</t>
  </si>
  <si>
    <t>v_induced</t>
  </si>
  <si>
    <t>Thrust Diff</t>
  </si>
  <si>
    <t>Thrust (Guess)</t>
  </si>
  <si>
    <t>Alt = 0 ft</t>
  </si>
  <si>
    <t>Total Losses</t>
  </si>
  <si>
    <t>Assumed the average of the above losses</t>
  </si>
  <si>
    <t>%</t>
  </si>
  <si>
    <t>Published</t>
  </si>
  <si>
    <t>Hover Ceiling (ft)</t>
  </si>
  <si>
    <t>ft/min</t>
  </si>
  <si>
    <t>Service Ceiling (ft)</t>
  </si>
  <si>
    <t>Hover (100 ft/min) R/C</t>
  </si>
  <si>
    <t>No Data</t>
  </si>
  <si>
    <t>Helicopter</t>
  </si>
  <si>
    <t>P_Total Req.</t>
  </si>
  <si>
    <t>Source: Wikipedia.com</t>
  </si>
  <si>
    <t>R-22</t>
  </si>
  <si>
    <t>Main Rotor</t>
  </si>
  <si>
    <t>Tail Rotor</t>
  </si>
  <si>
    <t>P_Total Ava.(MCP)</t>
  </si>
  <si>
    <t>TH-55A (Hughes 269A)</t>
  </si>
  <si>
    <t>P_Tail</t>
  </si>
  <si>
    <t>Summary</t>
  </si>
  <si>
    <t>Max Forward Speed</t>
  </si>
  <si>
    <t>(knots)</t>
  </si>
  <si>
    <t>Absolute (OGE)</t>
  </si>
  <si>
    <t>(nm)</t>
  </si>
  <si>
    <t>h, min</t>
  </si>
  <si>
    <t>2h 18 min</t>
  </si>
  <si>
    <t>Performance Data From Sources</t>
  </si>
  <si>
    <t>Max Endurance</t>
  </si>
  <si>
    <t>Max Range</t>
  </si>
  <si>
    <t>2h 44 min</t>
  </si>
  <si>
    <t>Fuel Consumption</t>
  </si>
  <si>
    <t xml:space="preserve"> lt/hr</t>
  </si>
  <si>
    <t>gal/hr</t>
  </si>
  <si>
    <t>s-70</t>
  </si>
  <si>
    <t>UH-60 Black Hawk</t>
  </si>
  <si>
    <t>source: www.sikorsky.com</t>
  </si>
  <si>
    <t>Engine Specifications (Sea Level/Standard Day)</t>
  </si>
  <si>
    <t>Contingency (2.5 min. OEI)</t>
  </si>
  <si>
    <t>Maximum (10 min.)</t>
  </si>
  <si>
    <t>Intermediate (30 min.)</t>
  </si>
  <si>
    <t>Maximum Continuous</t>
  </si>
  <si>
    <t>SHP (kW)</t>
  </si>
  <si>
    <t>1,940 (1,447)</t>
  </si>
  <si>
    <t>1,890 (1,409)</t>
  </si>
  <si>
    <t>1,800 (1,342)</t>
  </si>
  <si>
    <t>1,662 (1,239)</t>
  </si>
  <si>
    <t>SFC</t>
  </si>
  <si>
    <t>--</t>
  </si>
  <si>
    <t>0.462 (78.1)</t>
  </si>
  <si>
    <t>0.460 (77.7)</t>
  </si>
  <si>
    <t>0.459 (77.6)</t>
  </si>
  <si>
    <t>SHP - Shaft Horsepower     SFC - Specific Fuel Consumption in lb/SHP-hr (µg/J)    </t>
  </si>
  <si>
    <t>OEI - One Engine Inoperative</t>
  </si>
  <si>
    <t>Calculated Performance</t>
  </si>
  <si>
    <t>lb/SHP-hr</t>
  </si>
  <si>
    <t>lb/hr</t>
  </si>
  <si>
    <t>Fuel Flow (Hover)</t>
  </si>
  <si>
    <t>Fuel Flow (MCP)</t>
  </si>
  <si>
    <t>Endurance</t>
  </si>
  <si>
    <t>(hr)</t>
  </si>
  <si>
    <t>Fuel Flow (at condition)</t>
  </si>
  <si>
    <t>Min SHP @ VBE</t>
  </si>
  <si>
    <t>(hrs)</t>
  </si>
  <si>
    <t>Range Calculation</t>
  </si>
  <si>
    <t>Fuel Ave.</t>
  </si>
  <si>
    <t>Hover Fuel</t>
  </si>
  <si>
    <t>Cruise Fuel</t>
  </si>
  <si>
    <t>Loiter Fuel</t>
  </si>
  <si>
    <t>Fuel Req.</t>
  </si>
  <si>
    <t>Range</t>
  </si>
  <si>
    <t>SHP @ VBR</t>
  </si>
  <si>
    <t>VBR</t>
  </si>
  <si>
    <t>(ft/hr)</t>
  </si>
  <si>
    <t>Fuel Flow at VBR</t>
  </si>
  <si>
    <t>(lb/hr)</t>
  </si>
  <si>
    <t>AI</t>
  </si>
  <si>
    <t>I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</si>
</sst>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#,##0.0"/>
    <numFmt numFmtId="180" formatCode="#,##0.000"/>
    <numFmt numFmtId="181" formatCode="_(* #,##0.000000_);_(* \(#,##0.000000\);_(* &quot;-&quot;??????_);_(@_)"/>
    <numFmt numFmtId="182" formatCode="_(* #,##0.000_);_(* \(#,##0.000\);_(* &quot;-&quot;???_);_(@_)"/>
    <numFmt numFmtId="183" formatCode="0.00000000"/>
    <numFmt numFmtId="184" formatCode="0.0000000"/>
    <numFmt numFmtId="185" formatCode="0.000000"/>
    <numFmt numFmtId="186" formatCode="_(* #,##0.000000000000_);_(* \(#,##0.000000000000\);_(* &quot;-&quot;????????????_);_(@_)"/>
  </numFmts>
  <fonts count="2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sz val="10"/>
      <color indexed="12"/>
      <name val="Trebuchet MS"/>
      <family val="2"/>
    </font>
    <font>
      <vertAlign val="superscript"/>
      <sz val="10"/>
      <color indexed="12"/>
      <name val="Trebuchet MS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sz val="10"/>
      <color indexed="12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b/>
      <sz val="10"/>
      <color indexed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.5"/>
      <name val="Arial"/>
      <family val="0"/>
    </font>
    <font>
      <b/>
      <sz val="12"/>
      <name val="Times New Roman"/>
      <family val="1"/>
    </font>
    <font>
      <sz val="7.5"/>
      <name val="Arial"/>
      <family val="2"/>
    </font>
    <font>
      <b/>
      <u val="single"/>
      <sz val="7.5"/>
      <name val="Arial"/>
      <family val="2"/>
    </font>
    <font>
      <sz val="10"/>
      <color indexed="17"/>
      <name val="Arial"/>
      <family val="0"/>
    </font>
    <font>
      <b/>
      <sz val="12"/>
      <color indexed="17"/>
      <name val="Times New Roman"/>
      <family val="1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6" fillId="2" borderId="0" xfId="2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0" fillId="0" borderId="0" xfId="15" applyNumberFormat="1" applyAlignment="1">
      <alignment/>
    </xf>
    <xf numFmtId="0" fontId="7" fillId="0" borderId="0" xfId="0" applyFont="1" applyAlignment="1">
      <alignment/>
    </xf>
    <xf numFmtId="173" fontId="8" fillId="0" borderId="0" xfId="15" applyNumberFormat="1" applyFont="1" applyAlignment="1">
      <alignment/>
    </xf>
    <xf numFmtId="172" fontId="0" fillId="0" borderId="0" xfId="15" applyNumberFormat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Font="1" applyAlignment="1">
      <alignment horizontal="center"/>
    </xf>
    <xf numFmtId="43" fontId="0" fillId="0" borderId="0" xfId="15" applyNumberFormat="1" applyAlignment="1">
      <alignment/>
    </xf>
    <xf numFmtId="172" fontId="8" fillId="0" borderId="0" xfId="15" applyNumberFormat="1" applyFont="1" applyAlignment="1">
      <alignment/>
    </xf>
    <xf numFmtId="43" fontId="8" fillId="0" borderId="0" xfId="15" applyNumberFormat="1" applyFont="1" applyAlignment="1">
      <alignment/>
    </xf>
    <xf numFmtId="0" fontId="0" fillId="0" borderId="0" xfId="0" applyFill="1" applyAlignment="1">
      <alignment/>
    </xf>
    <xf numFmtId="172" fontId="0" fillId="0" borderId="0" xfId="15" applyNumberFormat="1" applyFont="1" applyAlignment="1">
      <alignment/>
    </xf>
    <xf numFmtId="0" fontId="11" fillId="0" borderId="0" xfId="0" applyFont="1" applyAlignment="1">
      <alignment/>
    </xf>
    <xf numFmtId="175" fontId="0" fillId="0" borderId="0" xfId="15" applyNumberFormat="1" applyAlignment="1">
      <alignment/>
    </xf>
    <xf numFmtId="178" fontId="0" fillId="0" borderId="0" xfId="15" applyNumberFormat="1" applyAlignment="1">
      <alignment/>
    </xf>
    <xf numFmtId="179" fontId="0" fillId="0" borderId="0" xfId="15" applyNumberFormat="1" applyAlignment="1">
      <alignment/>
    </xf>
    <xf numFmtId="175" fontId="8" fillId="0" borderId="0" xfId="15" applyNumberFormat="1" applyFont="1" applyAlignment="1">
      <alignment/>
    </xf>
    <xf numFmtId="172" fontId="0" fillId="0" borderId="0" xfId="15" applyNumberFormat="1" applyFont="1" applyAlignment="1">
      <alignment horizontal="center"/>
    </xf>
    <xf numFmtId="37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15" applyNumberFormat="1" applyFont="1" applyAlignment="1">
      <alignment/>
    </xf>
    <xf numFmtId="173" fontId="12" fillId="0" borderId="0" xfId="15" applyNumberFormat="1" applyFont="1" applyAlignment="1">
      <alignment/>
    </xf>
    <xf numFmtId="173" fontId="12" fillId="0" borderId="0" xfId="0" applyNumberFormat="1" applyFont="1" applyAlignment="1">
      <alignment/>
    </xf>
    <xf numFmtId="173" fontId="12" fillId="3" borderId="0" xfId="0" applyNumberFormat="1" applyFont="1" applyFill="1" applyAlignment="1">
      <alignment/>
    </xf>
    <xf numFmtId="173" fontId="0" fillId="0" borderId="0" xfId="15" applyNumberFormat="1" applyFont="1" applyAlignment="1">
      <alignment/>
    </xf>
    <xf numFmtId="173" fontId="8" fillId="0" borderId="0" xfId="15" applyNumberFormat="1" applyFont="1" applyAlignment="1">
      <alignment/>
    </xf>
    <xf numFmtId="173" fontId="12" fillId="0" borderId="0" xfId="15" applyNumberFormat="1" applyFont="1" applyAlignment="1">
      <alignment horizontal="center"/>
    </xf>
    <xf numFmtId="173" fontId="12" fillId="3" borderId="0" xfId="15" applyNumberFormat="1" applyFont="1" applyFill="1" applyAlignment="1">
      <alignment horizontal="center"/>
    </xf>
    <xf numFmtId="178" fontId="8" fillId="0" borderId="0" xfId="15" applyNumberFormat="1" applyFont="1" applyAlignment="1">
      <alignment/>
    </xf>
    <xf numFmtId="179" fontId="8" fillId="0" borderId="0" xfId="15" applyNumberFormat="1" applyFont="1" applyAlignment="1">
      <alignment/>
    </xf>
    <xf numFmtId="180" fontId="0" fillId="0" borderId="0" xfId="15" applyNumberFormat="1" applyAlignment="1">
      <alignment/>
    </xf>
    <xf numFmtId="171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/>
    </xf>
    <xf numFmtId="178" fontId="13" fillId="0" borderId="0" xfId="15" applyNumberFormat="1" applyFont="1" applyAlignment="1">
      <alignment/>
    </xf>
    <xf numFmtId="179" fontId="13" fillId="0" borderId="0" xfId="15" applyNumberFormat="1" applyFont="1" applyAlignment="1">
      <alignment/>
    </xf>
    <xf numFmtId="178" fontId="0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173" fontId="12" fillId="0" borderId="0" xfId="15" applyNumberFormat="1" applyFont="1" applyFill="1" applyAlignment="1">
      <alignment horizontal="center"/>
    </xf>
    <xf numFmtId="43" fontId="14" fillId="0" borderId="0" xfId="15" applyNumberFormat="1" applyFont="1" applyAlignment="1">
      <alignment/>
    </xf>
    <xf numFmtId="0" fontId="8" fillId="0" borderId="0" xfId="0" applyFont="1" applyAlignment="1">
      <alignment/>
    </xf>
    <xf numFmtId="2" fontId="8" fillId="0" borderId="0" xfId="21" applyNumberFormat="1" applyFont="1" applyAlignment="1">
      <alignment/>
    </xf>
    <xf numFmtId="180" fontId="8" fillId="0" borderId="0" xfId="15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173" fontId="0" fillId="0" borderId="3" xfId="15" applyNumberFormat="1" applyBorder="1" applyAlignment="1">
      <alignment/>
    </xf>
    <xf numFmtId="0" fontId="0" fillId="0" borderId="4" xfId="0" applyFont="1" applyBorder="1" applyAlignment="1">
      <alignment/>
    </xf>
    <xf numFmtId="173" fontId="0" fillId="0" borderId="5" xfId="15" applyNumberFormat="1" applyBorder="1" applyAlignment="1">
      <alignment/>
    </xf>
    <xf numFmtId="0" fontId="1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3" fontId="11" fillId="0" borderId="5" xfId="15" applyNumberFormat="1" applyFont="1" applyBorder="1" applyAlignment="1">
      <alignment/>
    </xf>
    <xf numFmtId="0" fontId="15" fillId="0" borderId="0" xfId="0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2" fontId="12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73" fontId="0" fillId="0" borderId="0" xfId="15" applyNumberFormat="1" applyFont="1" applyAlignment="1">
      <alignment/>
    </xf>
    <xf numFmtId="0" fontId="0" fillId="0" borderId="14" xfId="0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" xfId="0" applyFill="1" applyBorder="1" applyAlignment="1">
      <alignment/>
    </xf>
    <xf numFmtId="173" fontId="0" fillId="0" borderId="0" xfId="0" applyNumberFormat="1" applyAlignment="1">
      <alignment/>
    </xf>
    <xf numFmtId="43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170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left"/>
    </xf>
    <xf numFmtId="172" fontId="12" fillId="0" borderId="0" xfId="0" applyNumberFormat="1" applyFont="1" applyAlignment="1">
      <alignment horizontal="left"/>
    </xf>
    <xf numFmtId="17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 horizontal="right"/>
    </xf>
    <xf numFmtId="172" fontId="0" fillId="0" borderId="3" xfId="15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0" fillId="0" borderId="29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0" fontId="20" fillId="0" borderId="31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0" fontId="20" fillId="0" borderId="33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35" xfId="0" applyFont="1" applyBorder="1" applyAlignment="1">
      <alignment wrapText="1"/>
    </xf>
    <xf numFmtId="0" fontId="20" fillId="0" borderId="36" xfId="0" applyFont="1" applyBorder="1" applyAlignment="1">
      <alignment wrapText="1"/>
    </xf>
    <xf numFmtId="0" fontId="20" fillId="0" borderId="37" xfId="0" applyFont="1" applyBorder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97375"/>
          <c:h val="0.975"/>
        </c:manualLayout>
      </c:layout>
      <c:scatterChart>
        <c:scatterStyle val="smoothMarker"/>
        <c:varyColors val="0"/>
        <c:ser>
          <c:idx val="0"/>
          <c:order val="0"/>
          <c:tx>
            <c:v>Induced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'Summary Data'!$D$15:$D$22</c:f>
              <c:numCache>
                <c:ptCount val="8"/>
                <c:pt idx="0">
                  <c:v>0</c:v>
                </c:pt>
                <c:pt idx="1">
                  <c:v>23.69935204</c:v>
                </c:pt>
                <c:pt idx="2">
                  <c:v>47.39870408</c:v>
                </c:pt>
                <c:pt idx="3">
                  <c:v>71.09805612</c:v>
                </c:pt>
                <c:pt idx="4">
                  <c:v>94.79740816</c:v>
                </c:pt>
                <c:pt idx="5">
                  <c:v>118.4967602</c:v>
                </c:pt>
                <c:pt idx="6">
                  <c:v>142.19611224</c:v>
                </c:pt>
                <c:pt idx="7">
                  <c:v>165.89546428</c:v>
                </c:pt>
              </c:numCache>
            </c:numRef>
          </c:xVal>
          <c:yVal>
            <c:numRef>
              <c:f>'Summary Data'!$E$15:$E$22</c:f>
              <c:numCache>
                <c:ptCount val="8"/>
                <c:pt idx="0">
                  <c:v>1237.383638188815</c:v>
                </c:pt>
                <c:pt idx="1">
                  <c:v>981.2090808058065</c:v>
                </c:pt>
                <c:pt idx="2">
                  <c:v>611.4720882419805</c:v>
                </c:pt>
                <c:pt idx="3">
                  <c:v>418.35645992733106</c:v>
                </c:pt>
                <c:pt idx="4">
                  <c:v>316.7555862032138</c:v>
                </c:pt>
                <c:pt idx="5">
                  <c:v>256.4240264576769</c:v>
                </c:pt>
                <c:pt idx="6">
                  <c:v>217.88862777510815</c:v>
                </c:pt>
                <c:pt idx="7">
                  <c:v>192.59619773135347</c:v>
                </c:pt>
              </c:numCache>
            </c:numRef>
          </c:yVal>
          <c:smooth val="1"/>
        </c:ser>
        <c:ser>
          <c:idx val="1"/>
          <c:order val="1"/>
          <c:tx>
            <c:v>Profile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'Summary Data'!$D$15:$D$22</c:f>
              <c:numCache>
                <c:ptCount val="8"/>
                <c:pt idx="0">
                  <c:v>0</c:v>
                </c:pt>
                <c:pt idx="1">
                  <c:v>23.69935204</c:v>
                </c:pt>
                <c:pt idx="2">
                  <c:v>47.39870408</c:v>
                </c:pt>
                <c:pt idx="3">
                  <c:v>71.09805612</c:v>
                </c:pt>
                <c:pt idx="4">
                  <c:v>94.79740816</c:v>
                </c:pt>
                <c:pt idx="5">
                  <c:v>118.4967602</c:v>
                </c:pt>
                <c:pt idx="6">
                  <c:v>142.19611224</c:v>
                </c:pt>
                <c:pt idx="7">
                  <c:v>165.89546428</c:v>
                </c:pt>
              </c:numCache>
            </c:numRef>
          </c:xVal>
          <c:yVal>
            <c:numRef>
              <c:f>'Summary Data'!$F$15:$F$22</c:f>
              <c:numCache>
                <c:ptCount val="8"/>
                <c:pt idx="0">
                  <c:v>316.3475018181818</c:v>
                </c:pt>
                <c:pt idx="1">
                  <c:v>320.8734151854545</c:v>
                </c:pt>
                <c:pt idx="2">
                  <c:v>334.4511552872727</c:v>
                </c:pt>
                <c:pt idx="3">
                  <c:v>357.0807221236363</c:v>
                </c:pt>
                <c:pt idx="4">
                  <c:v>388.76211569454546</c:v>
                </c:pt>
                <c:pt idx="5">
                  <c:v>429.49533599999995</c:v>
                </c:pt>
                <c:pt idx="6">
                  <c:v>479.28038304</c:v>
                </c:pt>
                <c:pt idx="7">
                  <c:v>538.1172568145454</c:v>
                </c:pt>
              </c:numCache>
            </c:numRef>
          </c:yVal>
          <c:smooth val="1"/>
        </c:ser>
        <c:ser>
          <c:idx val="2"/>
          <c:order val="2"/>
          <c:tx>
            <c:v>Parasite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'Summary Data'!$D$15:$D$22</c:f>
              <c:numCache>
                <c:ptCount val="8"/>
                <c:pt idx="0">
                  <c:v>0</c:v>
                </c:pt>
                <c:pt idx="1">
                  <c:v>23.69935204</c:v>
                </c:pt>
                <c:pt idx="2">
                  <c:v>47.39870408</c:v>
                </c:pt>
                <c:pt idx="3">
                  <c:v>71.09805612</c:v>
                </c:pt>
                <c:pt idx="4">
                  <c:v>94.79740816</c:v>
                </c:pt>
                <c:pt idx="5">
                  <c:v>118.4967602</c:v>
                </c:pt>
                <c:pt idx="6">
                  <c:v>142.19611224</c:v>
                </c:pt>
                <c:pt idx="7">
                  <c:v>165.89546428</c:v>
                </c:pt>
              </c:numCache>
            </c:numRef>
          </c:xVal>
          <c:yVal>
            <c:numRef>
              <c:f>'Summary Data'!$G$15:$G$22</c:f>
              <c:numCache>
                <c:ptCount val="8"/>
                <c:pt idx="0">
                  <c:v>0</c:v>
                </c:pt>
                <c:pt idx="1">
                  <c:v>5.672610909090909</c:v>
                </c:pt>
                <c:pt idx="2">
                  <c:v>45.38088727272727</c:v>
                </c:pt>
                <c:pt idx="3">
                  <c:v>153.16049454545455</c:v>
                </c:pt>
                <c:pt idx="4">
                  <c:v>363.04709818181817</c:v>
                </c:pt>
                <c:pt idx="5">
                  <c:v>709.0763636363637</c:v>
                </c:pt>
                <c:pt idx="6">
                  <c:v>1225.2839563636364</c:v>
                </c:pt>
                <c:pt idx="7">
                  <c:v>1945.7055418181817</c:v>
                </c:pt>
              </c:numCache>
            </c:numRef>
          </c:yVal>
          <c:smooth val="1"/>
        </c:ser>
        <c:ser>
          <c:idx val="3"/>
          <c:order val="3"/>
          <c:tx>
            <c:v>Tail Rotor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'Summary Data'!$D$15:$D$22</c:f>
              <c:numCache>
                <c:ptCount val="8"/>
                <c:pt idx="0">
                  <c:v>0</c:v>
                </c:pt>
                <c:pt idx="1">
                  <c:v>23.69935204</c:v>
                </c:pt>
                <c:pt idx="2">
                  <c:v>47.39870408</c:v>
                </c:pt>
                <c:pt idx="3">
                  <c:v>71.09805612</c:v>
                </c:pt>
                <c:pt idx="4">
                  <c:v>94.79740816</c:v>
                </c:pt>
                <c:pt idx="5">
                  <c:v>118.4967602</c:v>
                </c:pt>
                <c:pt idx="6">
                  <c:v>142.19611224</c:v>
                </c:pt>
                <c:pt idx="7">
                  <c:v>165.89546428</c:v>
                </c:pt>
              </c:numCache>
            </c:numRef>
          </c:xVal>
          <c:yVal>
            <c:numRef>
              <c:f>'Summary Data'!$L$15:$L$22</c:f>
              <c:numCache>
                <c:ptCount val="8"/>
                <c:pt idx="0">
                  <c:v>135.83609156230204</c:v>
                </c:pt>
                <c:pt idx="1">
                  <c:v>111.06020536892767</c:v>
                </c:pt>
                <c:pt idx="2">
                  <c:v>83.17663946580784</c:v>
                </c:pt>
                <c:pt idx="3">
                  <c:v>79.74807333107329</c:v>
                </c:pt>
                <c:pt idx="4">
                  <c:v>94.2521768024399</c:v>
                </c:pt>
                <c:pt idx="5">
                  <c:v>128.47636474705345</c:v>
                </c:pt>
                <c:pt idx="6">
                  <c:v>190.4884406232325</c:v>
                </c:pt>
                <c:pt idx="7">
                  <c:v>292.83955949557946</c:v>
                </c:pt>
              </c:numCache>
            </c:numRef>
          </c:yVal>
          <c:smooth val="1"/>
        </c:ser>
        <c:ser>
          <c:idx val="4"/>
          <c:order val="4"/>
          <c:tx>
            <c:v>Total Req.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'Summary Data'!$D$15:$D$22</c:f>
              <c:numCache>
                <c:ptCount val="8"/>
                <c:pt idx="0">
                  <c:v>0</c:v>
                </c:pt>
                <c:pt idx="1">
                  <c:v>23.69935204</c:v>
                </c:pt>
                <c:pt idx="2">
                  <c:v>47.39870408</c:v>
                </c:pt>
                <c:pt idx="3">
                  <c:v>71.09805612</c:v>
                </c:pt>
                <c:pt idx="4">
                  <c:v>94.79740816</c:v>
                </c:pt>
                <c:pt idx="5">
                  <c:v>118.4967602</c:v>
                </c:pt>
                <c:pt idx="6">
                  <c:v>142.19611224</c:v>
                </c:pt>
                <c:pt idx="7">
                  <c:v>165.89546428</c:v>
                </c:pt>
              </c:numCache>
            </c:numRef>
          </c:xVal>
          <c:yVal>
            <c:numRef>
              <c:f>'Summary Data'!$M$15:$M$22</c:f>
              <c:numCache>
                <c:ptCount val="8"/>
                <c:pt idx="0">
                  <c:v>1689.5672315692989</c:v>
                </c:pt>
                <c:pt idx="1">
                  <c:v>1418.8153122692797</c:v>
                </c:pt>
                <c:pt idx="2">
                  <c:v>1074.480770267788</c:v>
                </c:pt>
                <c:pt idx="3">
                  <c:v>1008.3457499274951</c:v>
                </c:pt>
                <c:pt idx="4">
                  <c:v>1162.8169768820176</c:v>
                </c:pt>
                <c:pt idx="5">
                  <c:v>1523.4720908410939</c:v>
                </c:pt>
                <c:pt idx="6">
                  <c:v>2112.941407801977</c:v>
                </c:pt>
                <c:pt idx="7">
                  <c:v>2969.25855585966</c:v>
                </c:pt>
              </c:numCache>
            </c:numRef>
          </c:yVal>
          <c:smooth val="1"/>
        </c:ser>
        <c:ser>
          <c:idx val="5"/>
          <c:order val="5"/>
          <c:tx>
            <c:v>Total Ava.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'Summary Data'!$D$15:$D$22</c:f>
              <c:numCache>
                <c:ptCount val="8"/>
                <c:pt idx="0">
                  <c:v>0</c:v>
                </c:pt>
                <c:pt idx="1">
                  <c:v>23.69935204</c:v>
                </c:pt>
                <c:pt idx="2">
                  <c:v>47.39870408</c:v>
                </c:pt>
                <c:pt idx="3">
                  <c:v>71.09805612</c:v>
                </c:pt>
                <c:pt idx="4">
                  <c:v>94.79740816</c:v>
                </c:pt>
                <c:pt idx="5">
                  <c:v>118.4967602</c:v>
                </c:pt>
                <c:pt idx="6">
                  <c:v>142.19611224</c:v>
                </c:pt>
                <c:pt idx="7">
                  <c:v>165.89546428</c:v>
                </c:pt>
              </c:numCache>
            </c:numRef>
          </c:xVal>
          <c:yVal>
            <c:numRef>
              <c:f>'Summary Data'!$N$15:$N$22</c:f>
              <c:numCache>
                <c:ptCount val="8"/>
                <c:pt idx="0">
                  <c:v>2209</c:v>
                </c:pt>
                <c:pt idx="1">
                  <c:v>2209</c:v>
                </c:pt>
                <c:pt idx="2">
                  <c:v>2209</c:v>
                </c:pt>
                <c:pt idx="3">
                  <c:v>2209</c:v>
                </c:pt>
                <c:pt idx="4">
                  <c:v>2209</c:v>
                </c:pt>
                <c:pt idx="5">
                  <c:v>2209</c:v>
                </c:pt>
                <c:pt idx="6">
                  <c:v>2209</c:v>
                </c:pt>
                <c:pt idx="7">
                  <c:v>2209</c:v>
                </c:pt>
              </c:numCache>
            </c:numRef>
          </c:yVal>
          <c:smooth val="1"/>
        </c:ser>
        <c:axId val="49444973"/>
        <c:axId val="42351574"/>
      </c:scatterChart>
      <c:valAx>
        <c:axId val="4944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Forward Velocity (Knots)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351574"/>
        <c:crosses val="autoZero"/>
        <c:crossBetween val="midCat"/>
        <c:dispUnits/>
      </c:valAx>
      <c:valAx>
        <c:axId val="4235157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4449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5"/>
          <c:y val="0.0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75"/>
        </c:manualLayout>
      </c:layout>
      <c:scatterChart>
        <c:scatterStyle val="smoothMarker"/>
        <c:varyColors val="0"/>
        <c:ser>
          <c:idx val="0"/>
          <c:order val="0"/>
          <c:tx>
            <c:v>Induced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'Summary Data'!$D$15:$D$22</c:f>
              <c:numCache>
                <c:ptCount val="8"/>
                <c:pt idx="0">
                  <c:v>0</c:v>
                </c:pt>
                <c:pt idx="1">
                  <c:v>23.69935204</c:v>
                </c:pt>
                <c:pt idx="2">
                  <c:v>47.39870408</c:v>
                </c:pt>
                <c:pt idx="3">
                  <c:v>71.09805612</c:v>
                </c:pt>
                <c:pt idx="4">
                  <c:v>94.79740816</c:v>
                </c:pt>
                <c:pt idx="5">
                  <c:v>118.4967602</c:v>
                </c:pt>
                <c:pt idx="6">
                  <c:v>142.19611224</c:v>
                </c:pt>
                <c:pt idx="7">
                  <c:v>165.89546428</c:v>
                </c:pt>
              </c:numCache>
            </c:numRef>
          </c:xVal>
          <c:yVal>
            <c:numRef>
              <c:f>'Summary Data'!$P$15:$P$22</c:f>
              <c:numCache>
                <c:ptCount val="8"/>
                <c:pt idx="0">
                  <c:v>1411.362007205978</c:v>
                </c:pt>
                <c:pt idx="1">
                  <c:v>1104.530274734992</c:v>
                </c:pt>
                <c:pt idx="2">
                  <c:v>679.3098360002925</c:v>
                </c:pt>
                <c:pt idx="3">
                  <c:v>463.2561148436412</c:v>
                </c:pt>
                <c:pt idx="4">
                  <c:v>349.75488646723363</c:v>
                </c:pt>
                <c:pt idx="5">
                  <c:v>281.70253316192196</c:v>
                </c:pt>
                <c:pt idx="6">
                  <c:v>237.2596713102315</c:v>
                </c:pt>
                <c:pt idx="7">
                  <c:v>206.80942909062657</c:v>
                </c:pt>
              </c:numCache>
            </c:numRef>
          </c:yVal>
          <c:smooth val="1"/>
        </c:ser>
        <c:ser>
          <c:idx val="1"/>
          <c:order val="1"/>
          <c:tx>
            <c:v>Profile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'Summary Data'!$D$15:$D$22</c:f>
              <c:numCache>
                <c:ptCount val="8"/>
                <c:pt idx="0">
                  <c:v>0</c:v>
                </c:pt>
                <c:pt idx="1">
                  <c:v>23.69935204</c:v>
                </c:pt>
                <c:pt idx="2">
                  <c:v>47.39870408</c:v>
                </c:pt>
                <c:pt idx="3">
                  <c:v>71.09805612</c:v>
                </c:pt>
                <c:pt idx="4">
                  <c:v>94.79740816</c:v>
                </c:pt>
                <c:pt idx="5">
                  <c:v>118.4967602</c:v>
                </c:pt>
                <c:pt idx="6">
                  <c:v>142.19611224</c:v>
                </c:pt>
                <c:pt idx="7">
                  <c:v>165.89546428</c:v>
                </c:pt>
              </c:numCache>
            </c:numRef>
          </c:xVal>
          <c:yVal>
            <c:numRef>
              <c:f>'Summary Data'!$Q$15:$Q$22</c:f>
              <c:numCache>
                <c:ptCount val="8"/>
                <c:pt idx="0">
                  <c:v>307.70061743654975</c:v>
                </c:pt>
                <c:pt idx="1">
                  <c:v>312.10282175164673</c:v>
                </c:pt>
                <c:pt idx="2">
                  <c:v>325.3094346969376</c:v>
                </c:pt>
                <c:pt idx="3">
                  <c:v>347.3204562724226</c:v>
                </c:pt>
                <c:pt idx="4">
                  <c:v>378.13588647810155</c:v>
                </c:pt>
                <c:pt idx="5">
                  <c:v>417.7557253139744</c:v>
                </c:pt>
                <c:pt idx="6">
                  <c:v>466.1799727800413</c:v>
                </c:pt>
                <c:pt idx="7">
                  <c:v>523.408628876302</c:v>
                </c:pt>
              </c:numCache>
            </c:numRef>
          </c:yVal>
          <c:smooth val="1"/>
        </c:ser>
        <c:ser>
          <c:idx val="2"/>
          <c:order val="2"/>
          <c:tx>
            <c:v>Parasite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'Summary Data'!$D$15:$D$22</c:f>
              <c:numCache>
                <c:ptCount val="8"/>
                <c:pt idx="0">
                  <c:v>0</c:v>
                </c:pt>
                <c:pt idx="1">
                  <c:v>23.69935204</c:v>
                </c:pt>
                <c:pt idx="2">
                  <c:v>47.39870408</c:v>
                </c:pt>
                <c:pt idx="3">
                  <c:v>71.09805612</c:v>
                </c:pt>
                <c:pt idx="4">
                  <c:v>94.79740816</c:v>
                </c:pt>
                <c:pt idx="5">
                  <c:v>118.4967602</c:v>
                </c:pt>
                <c:pt idx="6">
                  <c:v>142.19611224</c:v>
                </c:pt>
                <c:pt idx="7">
                  <c:v>165.89546428</c:v>
                </c:pt>
              </c:numCache>
            </c:numRef>
          </c:xVal>
          <c:yVal>
            <c:numRef>
              <c:f>'Summary Data'!$R$15:$R$22</c:f>
              <c:numCache>
                <c:ptCount val="8"/>
                <c:pt idx="0">
                  <c:v>0</c:v>
                </c:pt>
                <c:pt idx="1">
                  <c:v>4.861842618181819</c:v>
                </c:pt>
                <c:pt idx="2">
                  <c:v>38.89474094545455</c:v>
                </c:pt>
                <c:pt idx="3">
                  <c:v>131.2697506909091</c:v>
                </c:pt>
                <c:pt idx="4">
                  <c:v>311.1579275636364</c:v>
                </c:pt>
                <c:pt idx="5">
                  <c:v>607.7303272727272</c:v>
                </c:pt>
                <c:pt idx="6">
                  <c:v>1050.1580055272727</c:v>
                </c:pt>
                <c:pt idx="7">
                  <c:v>1667.6120180363635</c:v>
                </c:pt>
              </c:numCache>
            </c:numRef>
          </c:yVal>
          <c:smooth val="1"/>
        </c:ser>
        <c:ser>
          <c:idx val="3"/>
          <c:order val="3"/>
          <c:tx>
            <c:v>Tail Rotor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'Summary Data'!$D$15:$D$22</c:f>
              <c:numCache>
                <c:ptCount val="8"/>
                <c:pt idx="0">
                  <c:v>0</c:v>
                </c:pt>
                <c:pt idx="1">
                  <c:v>23.69935204</c:v>
                </c:pt>
                <c:pt idx="2">
                  <c:v>47.39870408</c:v>
                </c:pt>
                <c:pt idx="3">
                  <c:v>71.09805612</c:v>
                </c:pt>
                <c:pt idx="4">
                  <c:v>94.79740816</c:v>
                </c:pt>
                <c:pt idx="5">
                  <c:v>118.4967602</c:v>
                </c:pt>
                <c:pt idx="6">
                  <c:v>142.19611224</c:v>
                </c:pt>
                <c:pt idx="7">
                  <c:v>165.89546428</c:v>
                </c:pt>
              </c:numCache>
            </c:numRef>
          </c:xVal>
          <c:yVal>
            <c:numRef>
              <c:f>'Summary Data'!$W$15:$W$22</c:f>
              <c:numCache>
                <c:ptCount val="8"/>
                <c:pt idx="0">
                  <c:v>130.26801218139764</c:v>
                </c:pt>
                <c:pt idx="1">
                  <c:v>104.37037658758746</c:v>
                </c:pt>
                <c:pt idx="2">
                  <c:v>75.90030419030882</c:v>
                </c:pt>
                <c:pt idx="3">
                  <c:v>70.51782606011123</c:v>
                </c:pt>
                <c:pt idx="4">
                  <c:v>79.77854977049756</c:v>
                </c:pt>
                <c:pt idx="5">
                  <c:v>103.36750420071635</c:v>
                </c:pt>
                <c:pt idx="6">
                  <c:v>146.06976048087796</c:v>
                </c:pt>
                <c:pt idx="7">
                  <c:v>215.91168152436728</c:v>
                </c:pt>
              </c:numCache>
            </c:numRef>
          </c:yVal>
          <c:smooth val="1"/>
        </c:ser>
        <c:ser>
          <c:idx val="4"/>
          <c:order val="4"/>
          <c:tx>
            <c:v>Total Req.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'Summary Data'!$D$15:$D$22</c:f>
              <c:numCache>
                <c:ptCount val="8"/>
                <c:pt idx="0">
                  <c:v>0</c:v>
                </c:pt>
                <c:pt idx="1">
                  <c:v>23.69935204</c:v>
                </c:pt>
                <c:pt idx="2">
                  <c:v>47.39870408</c:v>
                </c:pt>
                <c:pt idx="3">
                  <c:v>71.09805612</c:v>
                </c:pt>
                <c:pt idx="4">
                  <c:v>94.79740816</c:v>
                </c:pt>
                <c:pt idx="5">
                  <c:v>118.4967602</c:v>
                </c:pt>
                <c:pt idx="6">
                  <c:v>142.19611224</c:v>
                </c:pt>
                <c:pt idx="7">
                  <c:v>165.89546428</c:v>
                </c:pt>
              </c:numCache>
            </c:numRef>
          </c:xVal>
          <c:yVal>
            <c:numRef>
              <c:f>'Summary Data'!$X$15:$X$22</c:f>
              <c:numCache>
                <c:ptCount val="8"/>
                <c:pt idx="0">
                  <c:v>1849.3306368239253</c:v>
                </c:pt>
                <c:pt idx="1">
                  <c:v>1525.865315692408</c:v>
                </c:pt>
                <c:pt idx="2">
                  <c:v>1119.4143158329935</c:v>
                </c:pt>
                <c:pt idx="3">
                  <c:v>1012.3641478670842</c:v>
                </c:pt>
                <c:pt idx="4">
                  <c:v>1118.8272502794691</c:v>
                </c:pt>
                <c:pt idx="5">
                  <c:v>1410.5560899493398</c:v>
                </c:pt>
                <c:pt idx="6">
                  <c:v>1899.6674100984235</c:v>
                </c:pt>
                <c:pt idx="7">
                  <c:v>2613.741757527659</c:v>
                </c:pt>
              </c:numCache>
            </c:numRef>
          </c:yVal>
          <c:smooth val="1"/>
        </c:ser>
        <c:ser>
          <c:idx val="5"/>
          <c:order val="5"/>
          <c:tx>
            <c:v>Total Ava.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'Summary Data'!$D$15:$D$22</c:f>
              <c:numCache>
                <c:ptCount val="8"/>
                <c:pt idx="0">
                  <c:v>0</c:v>
                </c:pt>
                <c:pt idx="1">
                  <c:v>23.69935204</c:v>
                </c:pt>
                <c:pt idx="2">
                  <c:v>47.39870408</c:v>
                </c:pt>
                <c:pt idx="3">
                  <c:v>71.09805612</c:v>
                </c:pt>
                <c:pt idx="4">
                  <c:v>94.79740816</c:v>
                </c:pt>
                <c:pt idx="5">
                  <c:v>118.4967602</c:v>
                </c:pt>
                <c:pt idx="6">
                  <c:v>142.19611224</c:v>
                </c:pt>
                <c:pt idx="7">
                  <c:v>165.89546428</c:v>
                </c:pt>
              </c:numCache>
            </c:numRef>
          </c:xVal>
          <c:yVal>
            <c:numRef>
              <c:f>'Summary Data'!$Y$15:$Y$22</c:f>
              <c:numCache>
                <c:ptCount val="8"/>
                <c:pt idx="0">
                  <c:v>2070</c:v>
                </c:pt>
                <c:pt idx="1">
                  <c:v>2070</c:v>
                </c:pt>
                <c:pt idx="2">
                  <c:v>2070</c:v>
                </c:pt>
                <c:pt idx="3">
                  <c:v>2070</c:v>
                </c:pt>
                <c:pt idx="4">
                  <c:v>2070</c:v>
                </c:pt>
                <c:pt idx="5">
                  <c:v>2070</c:v>
                </c:pt>
                <c:pt idx="6">
                  <c:v>2070</c:v>
                </c:pt>
                <c:pt idx="7">
                  <c:v>2070</c:v>
                </c:pt>
              </c:numCache>
            </c:numRef>
          </c:yVal>
          <c:smooth val="1"/>
        </c:ser>
        <c:axId val="45619847"/>
        <c:axId val="7925440"/>
      </c:scatterChart>
      <c:valAx>
        <c:axId val="4561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Forward Velocity (Knots)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925440"/>
        <c:crosses val="autoZero"/>
        <c:crossBetween val="midCat"/>
        <c:dispUnits/>
      </c:valAx>
      <c:valAx>
        <c:axId val="792544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6198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25"/>
          <c:y val="0.06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5.emf" /><Relationship Id="rId3" Type="http://schemas.openxmlformats.org/officeDocument/2006/relationships/image" Target="../media/image1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0.80325</cdr:x>
      <cdr:y>0.24125</cdr:y>
    </cdr:from>
    <cdr:to>
      <cdr:x>0.82175</cdr:x>
      <cdr:y>0.27125</cdr:y>
    </cdr:to>
    <cdr:sp>
      <cdr:nvSpPr>
        <cdr:cNvPr id="1" name="Oval 1"/>
        <cdr:cNvSpPr>
          <a:spLocks/>
        </cdr:cNvSpPr>
      </cdr:nvSpPr>
      <cdr:spPr>
        <a:xfrm>
          <a:off x="4695825" y="942975"/>
          <a:ext cx="104775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0.42825</cdr:x>
      <cdr:y>0.15925</cdr:y>
    </cdr:from>
    <cdr:to>
      <cdr:x>0.7035</cdr:x>
      <cdr:y>0.21025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619125"/>
          <a:ext cx="16097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Max Velocity = 145.0 knts </a:t>
          </a:r>
        </a:p>
      </cdr:txBody>
    </cdr:sp>
  </cdr:relSizeAnchor>
  <cdr:relSizeAnchor xmlns:cdr="http://schemas.openxmlformats.org/drawingml/2006/chartDrawing">
    <cdr:from>
      <cdr:x>0.72175</cdr:x>
      <cdr:y>0.1865</cdr:y>
    </cdr:from>
    <cdr:to>
      <cdr:x>0.80325</cdr:x>
      <cdr:y>0.24125</cdr:y>
    </cdr:to>
    <cdr:sp>
      <cdr:nvSpPr>
        <cdr:cNvPr id="3" name="Line 3"/>
        <cdr:cNvSpPr>
          <a:spLocks/>
        </cdr:cNvSpPr>
      </cdr:nvSpPr>
      <cdr:spPr>
        <a:xfrm>
          <a:off x="4219575" y="723900"/>
          <a:ext cx="4762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0.15925</cdr:y>
    </cdr:from>
    <cdr:to>
      <cdr:x>0.22325</cdr:x>
      <cdr:y>0.21025</cdr:y>
    </cdr:to>
    <cdr:sp>
      <cdr:nvSpPr>
        <cdr:cNvPr id="4" name="TextBox 4"/>
        <cdr:cNvSpPr txBox="1">
          <a:spLocks noChangeArrowheads="1"/>
        </cdr:cNvSpPr>
      </cdr:nvSpPr>
      <cdr:spPr>
        <a:xfrm>
          <a:off x="771525" y="619125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SL/STD</a:t>
          </a:r>
        </a:p>
      </cdr:txBody>
    </cdr:sp>
  </cdr:relSizeAnchor>
  <cdr:relSizeAnchor xmlns:cdr="http://schemas.openxmlformats.org/drawingml/2006/chartDrawing">
    <cdr:from>
      <cdr:x>0.238</cdr:x>
      <cdr:y>0.27125</cdr:y>
    </cdr:from>
    <cdr:to>
      <cdr:x>0.51325</cdr:x>
      <cdr:y>0.32225</cdr:y>
    </cdr:to>
    <cdr:sp>
      <cdr:nvSpPr>
        <cdr:cNvPr id="5" name="TextBox 5"/>
        <cdr:cNvSpPr txBox="1">
          <a:spLocks noChangeArrowheads="1"/>
        </cdr:cNvSpPr>
      </cdr:nvSpPr>
      <cdr:spPr>
        <a:xfrm>
          <a:off x="1390650" y="1057275"/>
          <a:ext cx="16097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MCP (Installed) = 2,209 HP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57150</xdr:rowOff>
    </xdr:from>
    <xdr:to>
      <xdr:col>20</xdr:col>
      <xdr:colOff>276225</xdr:colOff>
      <xdr:row>27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81000"/>
          <a:ext cx="637222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2</xdr:row>
      <xdr:rowOff>38100</xdr:rowOff>
    </xdr:from>
    <xdr:to>
      <xdr:col>10</xdr:col>
      <xdr:colOff>0</xdr:colOff>
      <xdr:row>10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361950"/>
          <a:ext cx="3810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0.283</cdr:y>
    </cdr:from>
    <cdr:to>
      <cdr:x>0.836</cdr:x>
      <cdr:y>0.313</cdr:y>
    </cdr:to>
    <cdr:sp>
      <cdr:nvSpPr>
        <cdr:cNvPr id="1" name="Oval 1"/>
        <cdr:cNvSpPr>
          <a:spLocks/>
        </cdr:cNvSpPr>
      </cdr:nvSpPr>
      <cdr:spPr>
        <a:xfrm>
          <a:off x="4562475" y="1104900"/>
          <a:ext cx="104775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0.43175</cdr:x>
      <cdr:y>0.15825</cdr:y>
    </cdr:from>
    <cdr:to>
      <cdr:x>0.72125</cdr:x>
      <cdr:y>0.20925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619125"/>
          <a:ext cx="16192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Max Velocity = 148.5 knts </a:t>
          </a:r>
        </a:p>
      </cdr:txBody>
    </cdr:sp>
  </cdr:relSizeAnchor>
  <cdr:relSizeAnchor xmlns:cdr="http://schemas.openxmlformats.org/drawingml/2006/chartDrawing">
    <cdr:from>
      <cdr:x>0.7225</cdr:x>
      <cdr:y>0.18675</cdr:y>
    </cdr:from>
    <cdr:to>
      <cdr:x>0.8175</cdr:x>
      <cdr:y>0.283</cdr:y>
    </cdr:to>
    <cdr:sp>
      <cdr:nvSpPr>
        <cdr:cNvPr id="3" name="Line 3"/>
        <cdr:cNvSpPr>
          <a:spLocks/>
        </cdr:cNvSpPr>
      </cdr:nvSpPr>
      <cdr:spPr>
        <a:xfrm>
          <a:off x="4038600" y="723900"/>
          <a:ext cx="533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0.15825</cdr:y>
    </cdr:from>
    <cdr:to>
      <cdr:x>0.22375</cdr:x>
      <cdr:y>0.20925</cdr:y>
    </cdr:to>
    <cdr:sp>
      <cdr:nvSpPr>
        <cdr:cNvPr id="4" name="TextBox 4"/>
        <cdr:cNvSpPr txBox="1">
          <a:spLocks noChangeArrowheads="1"/>
        </cdr:cNvSpPr>
      </cdr:nvSpPr>
      <cdr:spPr>
        <a:xfrm>
          <a:off x="714375" y="619125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SL/STD</a:t>
          </a:r>
        </a:p>
      </cdr:txBody>
    </cdr:sp>
  </cdr:relSizeAnchor>
  <cdr:relSizeAnchor xmlns:cdr="http://schemas.openxmlformats.org/drawingml/2006/chartDrawing">
    <cdr:from>
      <cdr:x>0.23475</cdr:x>
      <cdr:y>0.305</cdr:y>
    </cdr:from>
    <cdr:to>
      <cdr:x>0.52425</cdr:x>
      <cdr:y>0.356</cdr:y>
    </cdr:to>
    <cdr:sp>
      <cdr:nvSpPr>
        <cdr:cNvPr id="5" name="TextBox 5"/>
        <cdr:cNvSpPr txBox="1">
          <a:spLocks noChangeArrowheads="1"/>
        </cdr:cNvSpPr>
      </cdr:nvSpPr>
      <cdr:spPr>
        <a:xfrm>
          <a:off x="1304925" y="1190625"/>
          <a:ext cx="16192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MCP (Installed) = 2,070 HP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23</xdr:row>
      <xdr:rowOff>47625</xdr:rowOff>
    </xdr:from>
    <xdr:to>
      <xdr:col>13</xdr:col>
      <xdr:colOff>523875</xdr:colOff>
      <xdr:row>47</xdr:row>
      <xdr:rowOff>76200</xdr:rowOff>
    </xdr:to>
    <xdr:graphicFrame>
      <xdr:nvGraphicFramePr>
        <xdr:cNvPr id="1" name="Chart 11"/>
        <xdr:cNvGraphicFramePr/>
      </xdr:nvGraphicFramePr>
      <xdr:xfrm>
        <a:off x="2733675" y="4124325"/>
        <a:ext cx="5848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38100</xdr:colOff>
      <xdr:row>23</xdr:row>
      <xdr:rowOff>28575</xdr:rowOff>
    </xdr:from>
    <xdr:to>
      <xdr:col>25</xdr:col>
      <xdr:colOff>95250</xdr:colOff>
      <xdr:row>47</xdr:row>
      <xdr:rowOff>66675</xdr:rowOff>
    </xdr:to>
    <xdr:graphicFrame>
      <xdr:nvGraphicFramePr>
        <xdr:cNvPr id="2" name="Chart 14"/>
        <xdr:cNvGraphicFramePr/>
      </xdr:nvGraphicFramePr>
      <xdr:xfrm>
        <a:off x="8924925" y="4105275"/>
        <a:ext cx="55911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37</xdr:col>
      <xdr:colOff>0</xdr:colOff>
      <xdr:row>4</xdr:row>
      <xdr:rowOff>85725</xdr:rowOff>
    </xdr:from>
    <xdr:ext cx="523875" cy="200025"/>
    <xdr:sp>
      <xdr:nvSpPr>
        <xdr:cNvPr id="3" name="TextBox 16"/>
        <xdr:cNvSpPr txBox="1">
          <a:spLocks noChangeArrowheads="1"/>
        </xdr:cNvSpPr>
      </xdr:nvSpPr>
      <xdr:spPr>
        <a:xfrm>
          <a:off x="21736050" y="742950"/>
          <a:ext cx="523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SL/STD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6</xdr:row>
      <xdr:rowOff>9525</xdr:rowOff>
    </xdr:from>
    <xdr:to>
      <xdr:col>17</xdr:col>
      <xdr:colOff>9525</xdr:colOff>
      <xdr:row>11</xdr:row>
      <xdr:rowOff>190500</xdr:rowOff>
    </xdr:to>
    <xdr:sp>
      <xdr:nvSpPr>
        <xdr:cNvPr id="1" name="Rectangle 5"/>
        <xdr:cNvSpPr>
          <a:spLocks/>
        </xdr:cNvSpPr>
      </xdr:nvSpPr>
      <xdr:spPr>
        <a:xfrm>
          <a:off x="8153400" y="1314450"/>
          <a:ext cx="3705225" cy="11811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12</xdr:row>
      <xdr:rowOff>38100</xdr:rowOff>
    </xdr:from>
    <xdr:to>
      <xdr:col>14</xdr:col>
      <xdr:colOff>390525</xdr:colOff>
      <xdr:row>13</xdr:row>
      <xdr:rowOff>66675</xdr:rowOff>
    </xdr:to>
    <xdr:sp>
      <xdr:nvSpPr>
        <xdr:cNvPr id="2" name="Line 6"/>
        <xdr:cNvSpPr>
          <a:spLocks/>
        </xdr:cNvSpPr>
      </xdr:nvSpPr>
      <xdr:spPr>
        <a:xfrm flipH="1">
          <a:off x="10334625" y="2543175"/>
          <a:ext cx="47625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381000</xdr:colOff>
      <xdr:row>13</xdr:row>
      <xdr:rowOff>85725</xdr:rowOff>
    </xdr:from>
    <xdr:ext cx="2619375" cy="190500"/>
    <xdr:sp>
      <xdr:nvSpPr>
        <xdr:cNvPr id="3" name="TextBox 7"/>
        <xdr:cNvSpPr txBox="1">
          <a:spLocks noChangeArrowheads="1"/>
        </xdr:cNvSpPr>
      </xdr:nvSpPr>
      <xdr:spPr>
        <a:xfrm>
          <a:off x="8515350" y="2752725"/>
          <a:ext cx="26193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Common Rotor Parameters Given in Leishman</a:t>
          </a:r>
        </a:p>
      </xdr:txBody>
    </xdr:sp>
    <xdr:clientData/>
  </xdr:oneCellAnchor>
  <xdr:twoCellAnchor>
    <xdr:from>
      <xdr:col>21</xdr:col>
      <xdr:colOff>9525</xdr:colOff>
      <xdr:row>6</xdr:row>
      <xdr:rowOff>0</xdr:rowOff>
    </xdr:from>
    <xdr:to>
      <xdr:col>21</xdr:col>
      <xdr:colOff>666750</xdr:colOff>
      <xdr:row>12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14535150" y="1304925"/>
          <a:ext cx="657225" cy="12001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304800</xdr:colOff>
      <xdr:row>12</xdr:row>
      <xdr:rowOff>0</xdr:rowOff>
    </xdr:from>
    <xdr:to>
      <xdr:col>21</xdr:col>
      <xdr:colOff>352425</xdr:colOff>
      <xdr:row>13</xdr:row>
      <xdr:rowOff>28575</xdr:rowOff>
    </xdr:to>
    <xdr:sp>
      <xdr:nvSpPr>
        <xdr:cNvPr id="5" name="Line 11"/>
        <xdr:cNvSpPr>
          <a:spLocks/>
        </xdr:cNvSpPr>
      </xdr:nvSpPr>
      <xdr:spPr>
        <a:xfrm flipH="1">
          <a:off x="14830425" y="2505075"/>
          <a:ext cx="47625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390525</xdr:colOff>
      <xdr:row>13</xdr:row>
      <xdr:rowOff>57150</xdr:rowOff>
    </xdr:from>
    <xdr:ext cx="3038475" cy="838200"/>
    <xdr:sp>
      <xdr:nvSpPr>
        <xdr:cNvPr id="6" name="TextBox 12"/>
        <xdr:cNvSpPr txBox="1">
          <a:spLocks noChangeArrowheads="1"/>
        </xdr:cNvSpPr>
      </xdr:nvSpPr>
      <xdr:spPr>
        <a:xfrm>
          <a:off x="14239875" y="2724150"/>
          <a:ext cx="30384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 assume 30.5% loss from SHP to RHP
This is to account for Installed Power Losses
Assumptions are below: 
In addition, Power available is a function of density alt.
Higher Alt. yeild lower power available</a:t>
          </a:r>
        </a:p>
      </xdr:txBody>
    </xdr:sp>
    <xdr:clientData/>
  </xdr:oneCellAnchor>
  <xdr:twoCellAnchor>
    <xdr:from>
      <xdr:col>22</xdr:col>
      <xdr:colOff>600075</xdr:colOff>
      <xdr:row>6</xdr:row>
      <xdr:rowOff>0</xdr:rowOff>
    </xdr:from>
    <xdr:to>
      <xdr:col>24</xdr:col>
      <xdr:colOff>19050</xdr:colOff>
      <xdr:row>12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15801975" y="1304925"/>
          <a:ext cx="657225" cy="12001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12</xdr:row>
      <xdr:rowOff>9525</xdr:rowOff>
    </xdr:from>
    <xdr:to>
      <xdr:col>23</xdr:col>
      <xdr:colOff>276225</xdr:colOff>
      <xdr:row>13</xdr:row>
      <xdr:rowOff>38100</xdr:rowOff>
    </xdr:to>
    <xdr:sp>
      <xdr:nvSpPr>
        <xdr:cNvPr id="8" name="Line 14"/>
        <xdr:cNvSpPr>
          <a:spLocks/>
        </xdr:cNvSpPr>
      </xdr:nvSpPr>
      <xdr:spPr>
        <a:xfrm flipH="1">
          <a:off x="16049625" y="2514600"/>
          <a:ext cx="47625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4</xdr:row>
      <xdr:rowOff>171450</xdr:rowOff>
    </xdr:from>
    <xdr:to>
      <xdr:col>41</xdr:col>
      <xdr:colOff>676275</xdr:colOff>
      <xdr:row>4</xdr:row>
      <xdr:rowOff>295275</xdr:rowOff>
    </xdr:to>
    <xdr:sp>
      <xdr:nvSpPr>
        <xdr:cNvPr id="9" name="AutoShape 17"/>
        <xdr:cNvSpPr>
          <a:spLocks/>
        </xdr:cNvSpPr>
      </xdr:nvSpPr>
      <xdr:spPr>
        <a:xfrm rot="16200000">
          <a:off x="26469975" y="838200"/>
          <a:ext cx="1257300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295275</xdr:colOff>
      <xdr:row>4</xdr:row>
      <xdr:rowOff>9525</xdr:rowOff>
    </xdr:from>
    <xdr:ext cx="733425" cy="200025"/>
    <xdr:sp>
      <xdr:nvSpPr>
        <xdr:cNvPr id="10" name="TextBox 18"/>
        <xdr:cNvSpPr txBox="1">
          <a:spLocks noChangeArrowheads="1"/>
        </xdr:cNvSpPr>
      </xdr:nvSpPr>
      <xdr:spPr>
        <a:xfrm>
          <a:off x="26736675" y="67627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Main Rotor</a:t>
          </a:r>
        </a:p>
      </xdr:txBody>
    </xdr:sp>
    <xdr:clientData/>
  </xdr:oneCellAnchor>
  <xdr:twoCellAnchor>
    <xdr:from>
      <xdr:col>7</xdr:col>
      <xdr:colOff>609600</xdr:colOff>
      <xdr:row>12</xdr:row>
      <xdr:rowOff>19050</xdr:rowOff>
    </xdr:from>
    <xdr:to>
      <xdr:col>8</xdr:col>
      <xdr:colOff>38100</xdr:colOff>
      <xdr:row>13</xdr:row>
      <xdr:rowOff>47625</xdr:rowOff>
    </xdr:to>
    <xdr:sp>
      <xdr:nvSpPr>
        <xdr:cNvPr id="11" name="Line 20"/>
        <xdr:cNvSpPr>
          <a:spLocks/>
        </xdr:cNvSpPr>
      </xdr:nvSpPr>
      <xdr:spPr>
        <a:xfrm flipH="1">
          <a:off x="6229350" y="2524125"/>
          <a:ext cx="85725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28575</xdr:colOff>
      <xdr:row>13</xdr:row>
      <xdr:rowOff>85725</xdr:rowOff>
    </xdr:from>
    <xdr:ext cx="1266825" cy="190500"/>
    <xdr:sp>
      <xdr:nvSpPr>
        <xdr:cNvPr id="12" name="TextBox 21"/>
        <xdr:cNvSpPr txBox="1">
          <a:spLocks noChangeArrowheads="1"/>
        </xdr:cNvSpPr>
      </xdr:nvSpPr>
      <xdr:spPr>
        <a:xfrm>
          <a:off x="5648325" y="2752725"/>
          <a:ext cx="1266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Scaled off of drawings </a:t>
          </a:r>
        </a:p>
      </xdr:txBody>
    </xdr:sp>
    <xdr:clientData/>
  </xdr:oneCellAnchor>
  <xdr:twoCellAnchor>
    <xdr:from>
      <xdr:col>7</xdr:col>
      <xdr:colOff>9525</xdr:colOff>
      <xdr:row>6</xdr:row>
      <xdr:rowOff>0</xdr:rowOff>
    </xdr:from>
    <xdr:to>
      <xdr:col>9</xdr:col>
      <xdr:colOff>19050</xdr:colOff>
      <xdr:row>12</xdr:row>
      <xdr:rowOff>0</xdr:rowOff>
    </xdr:to>
    <xdr:sp>
      <xdr:nvSpPr>
        <xdr:cNvPr id="13" name="Rectangle 22"/>
        <xdr:cNvSpPr>
          <a:spLocks/>
        </xdr:cNvSpPr>
      </xdr:nvSpPr>
      <xdr:spPr>
        <a:xfrm>
          <a:off x="5629275" y="1304925"/>
          <a:ext cx="1285875" cy="12001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390525</xdr:colOff>
      <xdr:row>12</xdr:row>
      <xdr:rowOff>9525</xdr:rowOff>
    </xdr:from>
    <xdr:to>
      <xdr:col>16</xdr:col>
      <xdr:colOff>438150</xdr:colOff>
      <xdr:row>13</xdr:row>
      <xdr:rowOff>38100</xdr:rowOff>
    </xdr:to>
    <xdr:sp>
      <xdr:nvSpPr>
        <xdr:cNvPr id="14" name="Line 26"/>
        <xdr:cNvSpPr>
          <a:spLocks/>
        </xdr:cNvSpPr>
      </xdr:nvSpPr>
      <xdr:spPr>
        <a:xfrm flipH="1">
          <a:off x="11620500" y="2514600"/>
          <a:ext cx="47625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200025</xdr:colOff>
      <xdr:row>13</xdr:row>
      <xdr:rowOff>38100</xdr:rowOff>
    </xdr:from>
    <xdr:ext cx="1857375" cy="514350"/>
    <xdr:sp>
      <xdr:nvSpPr>
        <xdr:cNvPr id="15" name="TextBox 27"/>
        <xdr:cNvSpPr txBox="1">
          <a:spLocks noChangeArrowheads="1"/>
        </xdr:cNvSpPr>
      </xdr:nvSpPr>
      <xdr:spPr>
        <a:xfrm>
          <a:off x="11430000" y="2705100"/>
          <a:ext cx="18573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Accounts for increased profile
power in forward flight caused by
retreating blade stall region</a:t>
          </a:r>
        </a:p>
      </xdr:txBody>
    </xdr:sp>
    <xdr:clientData/>
  </xdr:oneCellAnchor>
  <xdr:twoCellAnchor>
    <xdr:from>
      <xdr:col>44</xdr:col>
      <xdr:colOff>590550</xdr:colOff>
      <xdr:row>4</xdr:row>
      <xdr:rowOff>171450</xdr:rowOff>
    </xdr:from>
    <xdr:to>
      <xdr:col>47</xdr:col>
      <xdr:colOff>19050</xdr:colOff>
      <xdr:row>4</xdr:row>
      <xdr:rowOff>295275</xdr:rowOff>
    </xdr:to>
    <xdr:sp>
      <xdr:nvSpPr>
        <xdr:cNvPr id="16" name="AutoShape 28"/>
        <xdr:cNvSpPr>
          <a:spLocks/>
        </xdr:cNvSpPr>
      </xdr:nvSpPr>
      <xdr:spPr>
        <a:xfrm rot="16200000">
          <a:off x="29584650" y="838200"/>
          <a:ext cx="1257300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45</xdr:col>
      <xdr:colOff>257175</xdr:colOff>
      <xdr:row>4</xdr:row>
      <xdr:rowOff>9525</xdr:rowOff>
    </xdr:from>
    <xdr:ext cx="666750" cy="200025"/>
    <xdr:sp>
      <xdr:nvSpPr>
        <xdr:cNvPr id="17" name="TextBox 29"/>
        <xdr:cNvSpPr txBox="1">
          <a:spLocks noChangeArrowheads="1"/>
        </xdr:cNvSpPr>
      </xdr:nvSpPr>
      <xdr:spPr>
        <a:xfrm>
          <a:off x="29860875" y="6762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Tail Rotor</a:t>
          </a:r>
        </a:p>
      </xdr:txBody>
    </xdr:sp>
    <xdr:clientData/>
  </xdr:oneCellAnchor>
  <xdr:twoCellAnchor editAs="oneCell">
    <xdr:from>
      <xdr:col>27</xdr:col>
      <xdr:colOff>9525</xdr:colOff>
      <xdr:row>13</xdr:row>
      <xdr:rowOff>85725</xdr:rowOff>
    </xdr:from>
    <xdr:to>
      <xdr:col>31</xdr:col>
      <xdr:colOff>571500</xdr:colOff>
      <xdr:row>17</xdr:row>
      <xdr:rowOff>161925</xdr:rowOff>
    </xdr:to>
    <xdr:pic>
      <xdr:nvPicPr>
        <xdr:cNvPr id="18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30800" y="2752725"/>
          <a:ext cx="3152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19</xdr:row>
      <xdr:rowOff>95250</xdr:rowOff>
    </xdr:from>
    <xdr:to>
      <xdr:col>25</xdr:col>
      <xdr:colOff>371475</xdr:colOff>
      <xdr:row>31</xdr:row>
      <xdr:rowOff>38100</xdr:rowOff>
    </xdr:to>
    <xdr:pic>
      <xdr:nvPicPr>
        <xdr:cNvPr id="19" name="Picture 33"/>
        <xdr:cNvPicPr preferRelativeResize="1">
          <a:picLocks noChangeAspect="1"/>
        </xdr:cNvPicPr>
      </xdr:nvPicPr>
      <xdr:blipFill>
        <a:blip r:embed="rId2"/>
        <a:srcRect b="18861"/>
        <a:stretch>
          <a:fillRect/>
        </a:stretch>
      </xdr:blipFill>
      <xdr:spPr>
        <a:xfrm>
          <a:off x="13868400" y="4076700"/>
          <a:ext cx="35623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12</xdr:row>
      <xdr:rowOff>28575</xdr:rowOff>
    </xdr:from>
    <xdr:to>
      <xdr:col>15</xdr:col>
      <xdr:colOff>323850</xdr:colOff>
      <xdr:row>13</xdr:row>
      <xdr:rowOff>57150</xdr:rowOff>
    </xdr:to>
    <xdr:sp>
      <xdr:nvSpPr>
        <xdr:cNvPr id="20" name="Line 34"/>
        <xdr:cNvSpPr>
          <a:spLocks/>
        </xdr:cNvSpPr>
      </xdr:nvSpPr>
      <xdr:spPr>
        <a:xfrm flipH="1">
          <a:off x="10887075" y="2533650"/>
          <a:ext cx="47625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19050</xdr:rowOff>
    </xdr:from>
    <xdr:to>
      <xdr:col>8</xdr:col>
      <xdr:colOff>266700</xdr:colOff>
      <xdr:row>43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66750"/>
          <a:ext cx="6334125" cy="6381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542925</xdr:colOff>
      <xdr:row>3</xdr:row>
      <xdr:rowOff>19050</xdr:rowOff>
    </xdr:from>
    <xdr:to>
      <xdr:col>20</xdr:col>
      <xdr:colOff>590550</xdr:colOff>
      <xdr:row>57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504825"/>
          <a:ext cx="7362825" cy="915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352425</xdr:colOff>
      <xdr:row>41</xdr:row>
      <xdr:rowOff>28575</xdr:rowOff>
    </xdr:from>
    <xdr:to>
      <xdr:col>18</xdr:col>
      <xdr:colOff>0</xdr:colOff>
      <xdr:row>41</xdr:row>
      <xdr:rowOff>28575</xdr:rowOff>
    </xdr:to>
    <xdr:sp>
      <xdr:nvSpPr>
        <xdr:cNvPr id="3" name="Line 4"/>
        <xdr:cNvSpPr>
          <a:spLocks/>
        </xdr:cNvSpPr>
      </xdr:nvSpPr>
      <xdr:spPr>
        <a:xfrm>
          <a:off x="12001500" y="66675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41</xdr:row>
      <xdr:rowOff>28575</xdr:rowOff>
    </xdr:from>
    <xdr:to>
      <xdr:col>19</xdr:col>
      <xdr:colOff>266700</xdr:colOff>
      <xdr:row>41</xdr:row>
      <xdr:rowOff>28575</xdr:rowOff>
    </xdr:to>
    <xdr:sp>
      <xdr:nvSpPr>
        <xdr:cNvPr id="4" name="Line 5"/>
        <xdr:cNvSpPr>
          <a:spLocks/>
        </xdr:cNvSpPr>
      </xdr:nvSpPr>
      <xdr:spPr>
        <a:xfrm>
          <a:off x="12877800" y="66675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41</xdr:row>
      <xdr:rowOff>28575</xdr:rowOff>
    </xdr:from>
    <xdr:to>
      <xdr:col>20</xdr:col>
      <xdr:colOff>523875</xdr:colOff>
      <xdr:row>41</xdr:row>
      <xdr:rowOff>28575</xdr:rowOff>
    </xdr:to>
    <xdr:sp>
      <xdr:nvSpPr>
        <xdr:cNvPr id="5" name="Line 6"/>
        <xdr:cNvSpPr>
          <a:spLocks/>
        </xdr:cNvSpPr>
      </xdr:nvSpPr>
      <xdr:spPr>
        <a:xfrm>
          <a:off x="13744575" y="66675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14</xdr:row>
      <xdr:rowOff>104775</xdr:rowOff>
    </xdr:from>
    <xdr:to>
      <xdr:col>10</xdr:col>
      <xdr:colOff>285750</xdr:colOff>
      <xdr:row>15</xdr:row>
      <xdr:rowOff>66675</xdr:rowOff>
    </xdr:to>
    <xdr:sp>
      <xdr:nvSpPr>
        <xdr:cNvPr id="6" name="Line 7"/>
        <xdr:cNvSpPr>
          <a:spLocks/>
        </xdr:cNvSpPr>
      </xdr:nvSpPr>
      <xdr:spPr>
        <a:xfrm rot="13833327">
          <a:off x="8162925" y="2371725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15</xdr:row>
      <xdr:rowOff>104775</xdr:rowOff>
    </xdr:from>
    <xdr:to>
      <xdr:col>10</xdr:col>
      <xdr:colOff>285750</xdr:colOff>
      <xdr:row>16</xdr:row>
      <xdr:rowOff>66675</xdr:rowOff>
    </xdr:to>
    <xdr:sp>
      <xdr:nvSpPr>
        <xdr:cNvPr id="7" name="Line 8"/>
        <xdr:cNvSpPr>
          <a:spLocks/>
        </xdr:cNvSpPr>
      </xdr:nvSpPr>
      <xdr:spPr>
        <a:xfrm rot="13833327">
          <a:off x="8162925" y="253365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16</xdr:row>
      <xdr:rowOff>133350</xdr:rowOff>
    </xdr:from>
    <xdr:to>
      <xdr:col>10</xdr:col>
      <xdr:colOff>276225</xdr:colOff>
      <xdr:row>17</xdr:row>
      <xdr:rowOff>95250</xdr:rowOff>
    </xdr:to>
    <xdr:sp>
      <xdr:nvSpPr>
        <xdr:cNvPr id="8" name="Line 9"/>
        <xdr:cNvSpPr>
          <a:spLocks/>
        </xdr:cNvSpPr>
      </xdr:nvSpPr>
      <xdr:spPr>
        <a:xfrm rot="13833327">
          <a:off x="8153400" y="272415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4</xdr:row>
      <xdr:rowOff>114300</xdr:rowOff>
    </xdr:from>
    <xdr:to>
      <xdr:col>21</xdr:col>
      <xdr:colOff>152400</xdr:colOff>
      <xdr:row>34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828675"/>
          <a:ext cx="63436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34</xdr:row>
      <xdr:rowOff>142875</xdr:rowOff>
    </xdr:from>
    <xdr:to>
      <xdr:col>20</xdr:col>
      <xdr:colOff>400050</xdr:colOff>
      <xdr:row>70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5715000"/>
          <a:ext cx="5934075" cy="583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10</xdr:col>
      <xdr:colOff>409575</xdr:colOff>
      <xdr:row>59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876300"/>
          <a:ext cx="5895975" cy="887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447675</xdr:colOff>
      <xdr:row>2</xdr:row>
      <xdr:rowOff>133350</xdr:rowOff>
    </xdr:from>
    <xdr:to>
      <xdr:col>18</xdr:col>
      <xdr:colOff>428625</xdr:colOff>
      <xdr:row>25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57200"/>
          <a:ext cx="54673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9</xdr:col>
      <xdr:colOff>209550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485775"/>
          <a:ext cx="5076825" cy="524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13</xdr:col>
      <xdr:colOff>285750</xdr:colOff>
      <xdr:row>70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5829300"/>
          <a:ext cx="7591425" cy="5657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2</xdr:row>
      <xdr:rowOff>142875</xdr:rowOff>
    </xdr:from>
    <xdr:to>
      <xdr:col>21</xdr:col>
      <xdr:colOff>171450</xdr:colOff>
      <xdr:row>21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466725"/>
          <a:ext cx="4514850" cy="3019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13</xdr:col>
      <xdr:colOff>457200</xdr:colOff>
      <xdr:row>62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485775"/>
          <a:ext cx="7762875" cy="9639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25</xdr:row>
      <xdr:rowOff>38100</xdr:rowOff>
    </xdr:from>
    <xdr:to>
      <xdr:col>8</xdr:col>
      <xdr:colOff>76200</xdr:colOff>
      <xdr:row>41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495800"/>
          <a:ext cx="44577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</xdr:row>
      <xdr:rowOff>47625</xdr:rowOff>
    </xdr:from>
    <xdr:to>
      <xdr:col>23</xdr:col>
      <xdr:colOff>590550</xdr:colOff>
      <xdr:row>30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438150"/>
          <a:ext cx="9039225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hothelicopters.com/schweizerfltman.htm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Y23"/>
  <sheetViews>
    <sheetView tabSelected="1" workbookViewId="0" topLeftCell="A1">
      <selection activeCell="U3" sqref="U3"/>
    </sheetView>
  </sheetViews>
  <sheetFormatPr defaultColWidth="9.140625" defaultRowHeight="12.75"/>
  <cols>
    <col min="2" max="2" width="11.8515625" style="0" customWidth="1"/>
    <col min="4" max="4" width="10.28125" style="0" customWidth="1"/>
    <col min="5" max="5" width="10.7109375" style="0" customWidth="1"/>
    <col min="6" max="6" width="10.8515625" style="0" customWidth="1"/>
    <col min="7" max="8" width="9.8515625" style="0" customWidth="1"/>
    <col min="9" max="9" width="9.140625" style="0" hidden="1" customWidth="1"/>
    <col min="10" max="11" width="10.00390625" style="0" customWidth="1"/>
    <col min="13" max="13" width="10.00390625" style="0" customWidth="1"/>
    <col min="14" max="14" width="9.8515625" style="0" customWidth="1"/>
    <col min="15" max="15" width="2.57421875" style="0" customWidth="1"/>
    <col min="20" max="20" width="0" style="0" hidden="1" customWidth="1"/>
    <col min="25" max="25" width="9.8515625" style="0" customWidth="1"/>
  </cols>
  <sheetData>
    <row r="2" ht="13.5" thickBot="1">
      <c r="B2" s="51" t="s">
        <v>126</v>
      </c>
    </row>
    <row r="3" spans="2:15" ht="12.75">
      <c r="B3" s="114" t="s">
        <v>117</v>
      </c>
      <c r="C3" s="105"/>
      <c r="D3" s="104" t="s">
        <v>129</v>
      </c>
      <c r="E3" s="105"/>
      <c r="F3" s="104" t="s">
        <v>115</v>
      </c>
      <c r="G3" s="105"/>
      <c r="H3" s="104" t="s">
        <v>127</v>
      </c>
      <c r="I3" s="109"/>
      <c r="J3" s="105"/>
      <c r="K3" s="104" t="s">
        <v>165</v>
      </c>
      <c r="L3" s="105"/>
      <c r="M3" s="104" t="s">
        <v>176</v>
      </c>
      <c r="N3" s="122"/>
      <c r="O3" s="52"/>
    </row>
    <row r="4" spans="2:15" ht="12.75">
      <c r="B4" s="115"/>
      <c r="C4" s="112"/>
      <c r="D4" s="110" t="s">
        <v>112</v>
      </c>
      <c r="E4" s="112"/>
      <c r="F4" s="110" t="s">
        <v>114</v>
      </c>
      <c r="G4" s="112"/>
      <c r="H4" s="110" t="s">
        <v>128</v>
      </c>
      <c r="I4" s="111"/>
      <c r="J4" s="112"/>
      <c r="K4" s="110" t="s">
        <v>169</v>
      </c>
      <c r="L4" s="112"/>
      <c r="M4" s="110" t="s">
        <v>130</v>
      </c>
      <c r="N4" s="113"/>
      <c r="O4" s="52"/>
    </row>
    <row r="5" spans="2:15" ht="12.75">
      <c r="B5" s="116"/>
      <c r="C5" s="117"/>
      <c r="D5" s="53" t="s">
        <v>65</v>
      </c>
      <c r="E5" s="55" t="s">
        <v>111</v>
      </c>
      <c r="F5" s="53" t="s">
        <v>65</v>
      </c>
      <c r="G5" s="55" t="s">
        <v>111</v>
      </c>
      <c r="H5" s="72" t="s">
        <v>65</v>
      </c>
      <c r="I5" s="2"/>
      <c r="J5" s="95" t="s">
        <v>111</v>
      </c>
      <c r="K5" s="72" t="s">
        <v>65</v>
      </c>
      <c r="L5" s="95" t="s">
        <v>111</v>
      </c>
      <c r="M5" s="72" t="s">
        <v>65</v>
      </c>
      <c r="N5" s="59" t="s">
        <v>111</v>
      </c>
      <c r="O5" s="52"/>
    </row>
    <row r="6" spans="2:15" ht="15.75">
      <c r="B6" s="118" t="s">
        <v>8</v>
      </c>
      <c r="C6" s="119"/>
      <c r="D6" s="54">
        <v>10620</v>
      </c>
      <c r="E6" s="56">
        <v>11500</v>
      </c>
      <c r="F6" s="54">
        <v>9950</v>
      </c>
      <c r="G6" s="65" t="s">
        <v>116</v>
      </c>
      <c r="H6" s="99">
        <v>145</v>
      </c>
      <c r="I6" s="52"/>
      <c r="J6" s="98">
        <v>158</v>
      </c>
      <c r="K6" s="71">
        <v>2.95</v>
      </c>
      <c r="L6" s="96">
        <v>2.73</v>
      </c>
      <c r="M6" s="94">
        <f>'Helicopter Data'!D31</f>
        <v>244.89270743773287</v>
      </c>
      <c r="N6" s="58">
        <f>'Helicopter Data'!F23</f>
        <v>260</v>
      </c>
      <c r="O6" s="52"/>
    </row>
    <row r="7" spans="2:15" ht="15.75">
      <c r="B7" s="120" t="s">
        <v>2</v>
      </c>
      <c r="C7" s="121"/>
      <c r="D7" s="54">
        <v>5670</v>
      </c>
      <c r="E7" s="56">
        <v>5400</v>
      </c>
      <c r="F7" s="54">
        <v>4925</v>
      </c>
      <c r="G7" s="65" t="s">
        <v>116</v>
      </c>
      <c r="H7" s="99">
        <v>148.5</v>
      </c>
      <c r="I7" s="52"/>
      <c r="J7" s="96">
        <v>158</v>
      </c>
      <c r="K7" s="71">
        <v>3.07</v>
      </c>
      <c r="L7" s="97">
        <v>2.3</v>
      </c>
      <c r="M7" s="94">
        <f>'Helicopter Data'!D32</f>
        <v>271.0443415964936</v>
      </c>
      <c r="N7" s="58">
        <f>'Helicopter Data'!F24</f>
        <v>319</v>
      </c>
      <c r="O7" s="52"/>
    </row>
    <row r="8" spans="2:15" ht="13.5" thickBot="1">
      <c r="B8" s="60"/>
      <c r="C8" s="61"/>
      <c r="D8" s="64"/>
      <c r="E8" s="63"/>
      <c r="F8" s="64"/>
      <c r="G8" s="63"/>
      <c r="H8" s="64"/>
      <c r="I8" s="61"/>
      <c r="J8" s="63"/>
      <c r="K8" s="64"/>
      <c r="L8" s="63"/>
      <c r="M8" s="64"/>
      <c r="N8" s="62"/>
      <c r="O8" s="52"/>
    </row>
    <row r="10" ht="13.5" thickBot="1"/>
    <row r="11" spans="5:25" ht="17.25" customHeight="1" thickBot="1">
      <c r="E11" s="106" t="s">
        <v>8</v>
      </c>
      <c r="F11" s="107"/>
      <c r="G11" s="107"/>
      <c r="H11" s="107"/>
      <c r="I11" s="107"/>
      <c r="J11" s="107"/>
      <c r="K11" s="107"/>
      <c r="L11" s="107"/>
      <c r="M11" s="107"/>
      <c r="N11" s="108"/>
      <c r="P11" s="106" t="s">
        <v>2</v>
      </c>
      <c r="Q11" s="107"/>
      <c r="R11" s="107"/>
      <c r="S11" s="107"/>
      <c r="T11" s="107"/>
      <c r="U11" s="107"/>
      <c r="V11" s="107"/>
      <c r="W11" s="107"/>
      <c r="X11" s="107"/>
      <c r="Y11" s="108"/>
    </row>
    <row r="12" spans="5:23" ht="13.5" thickBot="1">
      <c r="E12" s="101" t="s">
        <v>121</v>
      </c>
      <c r="F12" s="103"/>
      <c r="J12" s="101" t="s">
        <v>122</v>
      </c>
      <c r="K12" s="102"/>
      <c r="L12" s="103"/>
      <c r="P12" s="101" t="s">
        <v>121</v>
      </c>
      <c r="Q12" s="103"/>
      <c r="U12" s="101" t="s">
        <v>122</v>
      </c>
      <c r="V12" s="102"/>
      <c r="W12" s="103"/>
    </row>
    <row r="13" spans="3:25" ht="26.25" thickBot="1">
      <c r="C13" t="s">
        <v>98</v>
      </c>
      <c r="E13" s="7" t="s">
        <v>67</v>
      </c>
      <c r="F13" s="7" t="s">
        <v>68</v>
      </c>
      <c r="G13" s="7" t="s">
        <v>89</v>
      </c>
      <c r="H13" s="7" t="s">
        <v>90</v>
      </c>
      <c r="I13" s="7" t="s">
        <v>86</v>
      </c>
      <c r="J13" s="7" t="s">
        <v>67</v>
      </c>
      <c r="K13" s="7" t="s">
        <v>68</v>
      </c>
      <c r="L13" s="7" t="s">
        <v>125</v>
      </c>
      <c r="M13" s="7" t="s">
        <v>118</v>
      </c>
      <c r="N13" s="7" t="s">
        <v>123</v>
      </c>
      <c r="P13" s="7" t="s">
        <v>67</v>
      </c>
      <c r="Q13" s="7" t="s">
        <v>68</v>
      </c>
      <c r="R13" s="7" t="s">
        <v>89</v>
      </c>
      <c r="S13" s="7" t="s">
        <v>90</v>
      </c>
      <c r="T13" s="7" t="s">
        <v>86</v>
      </c>
      <c r="U13" s="7" t="s">
        <v>67</v>
      </c>
      <c r="V13" s="7" t="s">
        <v>68</v>
      </c>
      <c r="W13" s="7" t="s">
        <v>125</v>
      </c>
      <c r="X13" s="7" t="s">
        <v>118</v>
      </c>
      <c r="Y13" s="7" t="s">
        <v>123</v>
      </c>
    </row>
    <row r="14" spans="2:25" ht="13.5" thickBot="1">
      <c r="B14" s="57" t="s">
        <v>107</v>
      </c>
      <c r="C14" s="60" t="s">
        <v>85</v>
      </c>
      <c r="D14" s="61" t="s">
        <v>93</v>
      </c>
      <c r="E14" s="61" t="s">
        <v>77</v>
      </c>
      <c r="F14" s="61" t="s">
        <v>77</v>
      </c>
      <c r="G14" s="61" t="s">
        <v>77</v>
      </c>
      <c r="H14" s="61" t="s">
        <v>77</v>
      </c>
      <c r="I14" s="61" t="s">
        <v>87</v>
      </c>
      <c r="J14" s="61" t="s">
        <v>77</v>
      </c>
      <c r="K14" s="61" t="s">
        <v>77</v>
      </c>
      <c r="L14" s="61" t="s">
        <v>77</v>
      </c>
      <c r="M14" s="61" t="s">
        <v>77</v>
      </c>
      <c r="N14" s="61" t="s">
        <v>77</v>
      </c>
      <c r="O14" s="61"/>
      <c r="P14" s="61" t="s">
        <v>77</v>
      </c>
      <c r="Q14" s="61" t="s">
        <v>77</v>
      </c>
      <c r="R14" s="61" t="s">
        <v>77</v>
      </c>
      <c r="S14" s="61" t="s">
        <v>77</v>
      </c>
      <c r="T14" s="61" t="s">
        <v>87</v>
      </c>
      <c r="U14" s="61" t="s">
        <v>77</v>
      </c>
      <c r="V14" s="61" t="s">
        <v>77</v>
      </c>
      <c r="W14" s="61" t="s">
        <v>77</v>
      </c>
      <c r="X14" s="61" t="s">
        <v>77</v>
      </c>
      <c r="Y14" s="61" t="s">
        <v>77</v>
      </c>
    </row>
    <row r="15" spans="3:25" ht="12.75">
      <c r="C15">
        <v>0</v>
      </c>
      <c r="D15" s="39">
        <f aca="true" t="shared" si="0" ref="D15:D22">C15*0.592483801</f>
        <v>0</v>
      </c>
      <c r="E15" s="67">
        <v>1237.383638188815</v>
      </c>
      <c r="F15" s="67">
        <v>316.3475018181818</v>
      </c>
      <c r="G15" s="39">
        <v>0</v>
      </c>
      <c r="H15" s="68">
        <v>0</v>
      </c>
      <c r="I15" s="68">
        <v>956.2351144326695</v>
      </c>
      <c r="J15" s="68">
        <v>110.35826892063537</v>
      </c>
      <c r="K15" s="68">
        <v>25.477822641666663</v>
      </c>
      <c r="L15" s="68">
        <f>J15+K15</f>
        <v>135.83609156230204</v>
      </c>
      <c r="M15" s="69">
        <f>E15+F15+G15+J15+K15+H15</f>
        <v>1689.5672315692989</v>
      </c>
      <c r="N15" s="69">
        <v>2209</v>
      </c>
      <c r="O15" s="68"/>
      <c r="P15" s="68">
        <v>1411.362007205978</v>
      </c>
      <c r="Q15" s="68">
        <v>307.70061743654975</v>
      </c>
      <c r="R15" s="68">
        <v>0</v>
      </c>
      <c r="S15" s="68">
        <v>0</v>
      </c>
      <c r="T15" s="68">
        <v>1049.9408492750258</v>
      </c>
      <c r="U15" s="68">
        <v>105.80930244539763</v>
      </c>
      <c r="V15" s="68">
        <v>24.458709736</v>
      </c>
      <c r="W15" s="68">
        <f>U15+V15</f>
        <v>130.26801218139764</v>
      </c>
      <c r="X15" s="69">
        <f>P15+Q15+R15+U15+V15+S15</f>
        <v>1849.3306368239253</v>
      </c>
      <c r="Y15" s="69">
        <v>2070</v>
      </c>
    </row>
    <row r="16" spans="3:25" ht="12.75">
      <c r="C16">
        <v>40</v>
      </c>
      <c r="D16" s="39">
        <f t="shared" si="0"/>
        <v>23.69935204</v>
      </c>
      <c r="E16" s="68">
        <v>981.2090808058065</v>
      </c>
      <c r="F16" s="68">
        <v>320.8734151854545</v>
      </c>
      <c r="G16" s="68">
        <v>5.672610909090909</v>
      </c>
      <c r="H16" s="68">
        <v>0</v>
      </c>
      <c r="I16" s="68">
        <v>804.8505446644616</v>
      </c>
      <c r="J16" s="68">
        <v>85.21787718383112</v>
      </c>
      <c r="K16" s="68">
        <v>25.84232818509655</v>
      </c>
      <c r="L16" s="68">
        <f aca="true" t="shared" si="1" ref="L16:L22">J16+K16</f>
        <v>111.06020536892767</v>
      </c>
      <c r="M16" s="69">
        <f aca="true" t="shared" si="2" ref="M16:M22">E16+F16+G16+J16+K16+H16</f>
        <v>1418.8153122692797</v>
      </c>
      <c r="N16" s="69">
        <v>2209</v>
      </c>
      <c r="O16" s="68"/>
      <c r="P16" s="68">
        <v>1104.530274734992</v>
      </c>
      <c r="Q16" s="68">
        <v>312.10282175164673</v>
      </c>
      <c r="R16" s="68">
        <v>4.861842618181819</v>
      </c>
      <c r="S16" s="68">
        <v>0</v>
      </c>
      <c r="T16" s="68">
        <v>868.1973432551491</v>
      </c>
      <c r="U16" s="68">
        <v>79.56174152989477</v>
      </c>
      <c r="V16" s="68">
        <v>24.80863505769269</v>
      </c>
      <c r="W16" s="68">
        <f aca="true" t="shared" si="3" ref="W16:W22">U16+V16</f>
        <v>104.37037658758746</v>
      </c>
      <c r="X16" s="69">
        <f aca="true" t="shared" si="4" ref="X16:X22">P16+Q16+R16+U16+V16+S16</f>
        <v>1525.865315692408</v>
      </c>
      <c r="Y16" s="69">
        <v>2070</v>
      </c>
    </row>
    <row r="17" spans="3:25" ht="12.75">
      <c r="C17">
        <v>80</v>
      </c>
      <c r="D17" s="39">
        <f t="shared" si="0"/>
        <v>47.39870408</v>
      </c>
      <c r="E17" s="68">
        <v>611.4720882419805</v>
      </c>
      <c r="F17" s="68">
        <v>334.4511552872727</v>
      </c>
      <c r="G17" s="68">
        <v>45.38088727272727</v>
      </c>
      <c r="H17" s="68">
        <v>0</v>
      </c>
      <c r="I17" s="68">
        <v>610.0925665625399</v>
      </c>
      <c r="J17" s="68">
        <v>56.240794650421634</v>
      </c>
      <c r="K17" s="68">
        <v>26.935844815386204</v>
      </c>
      <c r="L17" s="68">
        <f t="shared" si="1"/>
        <v>83.17663946580784</v>
      </c>
      <c r="M17" s="69">
        <f t="shared" si="2"/>
        <v>1074.480770267788</v>
      </c>
      <c r="N17" s="69">
        <v>2209</v>
      </c>
      <c r="O17" s="68"/>
      <c r="P17" s="68">
        <v>679.3098360002925</v>
      </c>
      <c r="Q17" s="68">
        <v>325.3094346969376</v>
      </c>
      <c r="R17" s="68">
        <v>38.89474094545455</v>
      </c>
      <c r="S17" s="68">
        <v>0</v>
      </c>
      <c r="T17" s="68">
        <v>637.3403574185326</v>
      </c>
      <c r="U17" s="68">
        <v>50.04189316753806</v>
      </c>
      <c r="V17" s="68">
        <v>25.858411022770756</v>
      </c>
      <c r="W17" s="68">
        <f t="shared" si="3"/>
        <v>75.90030419030882</v>
      </c>
      <c r="X17" s="69">
        <f t="shared" si="4"/>
        <v>1119.4143158329935</v>
      </c>
      <c r="Y17" s="69">
        <v>2070</v>
      </c>
    </row>
    <row r="18" spans="3:25" ht="12.75">
      <c r="C18">
        <v>120</v>
      </c>
      <c r="D18" s="39">
        <f t="shared" si="0"/>
        <v>71.09805612</v>
      </c>
      <c r="E18" s="68">
        <v>418.35645992733106</v>
      </c>
      <c r="F18" s="68">
        <v>357.0807221236363</v>
      </c>
      <c r="G18" s="68">
        <v>153.16049454545455</v>
      </c>
      <c r="H18" s="68">
        <v>0</v>
      </c>
      <c r="I18" s="68">
        <v>571.5002310747867</v>
      </c>
      <c r="J18" s="68">
        <v>50.98970079853766</v>
      </c>
      <c r="K18" s="68">
        <v>28.758372532535628</v>
      </c>
      <c r="L18" s="68">
        <f t="shared" si="1"/>
        <v>79.74807333107329</v>
      </c>
      <c r="M18" s="69">
        <f t="shared" si="2"/>
        <v>1008.3457499274951</v>
      </c>
      <c r="N18" s="69">
        <v>2209</v>
      </c>
      <c r="O18" s="68"/>
      <c r="P18" s="68">
        <v>463.2561148436412</v>
      </c>
      <c r="Q18" s="68">
        <v>347.3204562724226</v>
      </c>
      <c r="R18" s="68">
        <v>131.2697506909091</v>
      </c>
      <c r="S18" s="68">
        <v>0</v>
      </c>
      <c r="T18" s="68">
        <v>575.2454348253931</v>
      </c>
      <c r="U18" s="68">
        <v>42.90978842887703</v>
      </c>
      <c r="V18" s="68">
        <v>27.608037631234204</v>
      </c>
      <c r="W18" s="68">
        <f t="shared" si="3"/>
        <v>70.51782606011123</v>
      </c>
      <c r="X18" s="69">
        <f t="shared" si="4"/>
        <v>1012.3641478670842</v>
      </c>
      <c r="Y18" s="69">
        <v>2070</v>
      </c>
    </row>
    <row r="19" spans="3:25" ht="12.75">
      <c r="C19">
        <v>160</v>
      </c>
      <c r="D19" s="39">
        <f t="shared" si="0"/>
        <v>94.79740816</v>
      </c>
      <c r="E19" s="68">
        <v>316.7555862032138</v>
      </c>
      <c r="F19" s="68">
        <v>388.76211569454546</v>
      </c>
      <c r="G19" s="68">
        <v>363.04709818181817</v>
      </c>
      <c r="H19" s="68">
        <v>0</v>
      </c>
      <c r="I19" s="68">
        <v>657.6422120742305</v>
      </c>
      <c r="J19" s="68">
        <v>62.942265465895076</v>
      </c>
      <c r="K19" s="68">
        <v>31.30991133654483</v>
      </c>
      <c r="L19" s="68">
        <f t="shared" si="1"/>
        <v>94.2521768024399</v>
      </c>
      <c r="M19" s="69">
        <f t="shared" si="2"/>
        <v>1162.8169768820176</v>
      </c>
      <c r="N19" s="69">
        <v>2209</v>
      </c>
      <c r="O19" s="68"/>
      <c r="P19" s="68">
        <v>349.75488646723363</v>
      </c>
      <c r="Q19" s="68">
        <v>378.13588647810155</v>
      </c>
      <c r="R19" s="68">
        <v>311.1579275636364</v>
      </c>
      <c r="S19" s="68">
        <v>0</v>
      </c>
      <c r="T19" s="68">
        <v>634.6131079880571</v>
      </c>
      <c r="U19" s="68">
        <v>49.721034887414525</v>
      </c>
      <c r="V19" s="68">
        <v>30.057514883083037</v>
      </c>
      <c r="W19" s="68">
        <f t="shared" si="3"/>
        <v>79.77854977049756</v>
      </c>
      <c r="X19" s="69">
        <f t="shared" si="4"/>
        <v>1118.8272502794691</v>
      </c>
      <c r="Y19" s="69">
        <v>2070</v>
      </c>
    </row>
    <row r="20" spans="3:25" ht="12.75">
      <c r="C20">
        <v>200</v>
      </c>
      <c r="D20" s="39">
        <f t="shared" si="0"/>
        <v>118.4967602</v>
      </c>
      <c r="E20" s="68">
        <v>256.4240264576769</v>
      </c>
      <c r="F20" s="68">
        <v>429.49533599999995</v>
      </c>
      <c r="G20" s="68">
        <v>709.0763636363637</v>
      </c>
      <c r="H20" s="68">
        <v>0</v>
      </c>
      <c r="I20" s="68">
        <v>858.5422943692902</v>
      </c>
      <c r="J20" s="68">
        <v>93.88590351963965</v>
      </c>
      <c r="K20" s="68">
        <v>34.59046122741379</v>
      </c>
      <c r="L20" s="68">
        <f t="shared" si="1"/>
        <v>128.47636474705345</v>
      </c>
      <c r="M20" s="69">
        <f t="shared" si="2"/>
        <v>1523.4720908410939</v>
      </c>
      <c r="N20" s="69">
        <v>2209</v>
      </c>
      <c r="O20" s="68"/>
      <c r="P20" s="68">
        <v>281.70253316192196</v>
      </c>
      <c r="Q20" s="68">
        <v>417.7557253139744</v>
      </c>
      <c r="R20" s="68">
        <v>607.7303272727272</v>
      </c>
      <c r="S20" s="68">
        <v>0</v>
      </c>
      <c r="T20" s="68">
        <v>798.3831852367389</v>
      </c>
      <c r="U20" s="68">
        <v>70.1606614223991</v>
      </c>
      <c r="V20" s="68">
        <v>33.206842778317245</v>
      </c>
      <c r="W20" s="68">
        <f t="shared" si="3"/>
        <v>103.36750420071635</v>
      </c>
      <c r="X20" s="69">
        <f t="shared" si="4"/>
        <v>1410.5560899493398</v>
      </c>
      <c r="Y20" s="69">
        <v>2070</v>
      </c>
    </row>
    <row r="21" spans="3:25" ht="12.75">
      <c r="C21">
        <v>240</v>
      </c>
      <c r="D21" s="39">
        <f t="shared" si="0"/>
        <v>142.19611224</v>
      </c>
      <c r="E21" s="68">
        <v>217.88862777510815</v>
      </c>
      <c r="F21" s="68">
        <v>479.28038304</v>
      </c>
      <c r="G21" s="68">
        <v>1225.2839563636364</v>
      </c>
      <c r="H21" s="68">
        <v>0</v>
      </c>
      <c r="I21" s="68">
        <v>1183.1628946133585</v>
      </c>
      <c r="J21" s="68">
        <v>151.88841841808997</v>
      </c>
      <c r="K21" s="68">
        <v>38.60002220514253</v>
      </c>
      <c r="L21" s="68">
        <f t="shared" si="1"/>
        <v>190.4884406232325</v>
      </c>
      <c r="M21" s="69">
        <f t="shared" si="2"/>
        <v>2112.941407801977</v>
      </c>
      <c r="N21" s="69">
        <v>2209</v>
      </c>
      <c r="O21" s="68"/>
      <c r="P21" s="68">
        <v>237.2596713102315</v>
      </c>
      <c r="Q21" s="68">
        <v>466.1799727800413</v>
      </c>
      <c r="R21" s="68">
        <v>1050.1580055272727</v>
      </c>
      <c r="S21" s="68">
        <v>0</v>
      </c>
      <c r="T21" s="68">
        <v>1071.0335848928132</v>
      </c>
      <c r="U21" s="68">
        <v>109.01373916394114</v>
      </c>
      <c r="V21" s="68">
        <v>37.05602131693683</v>
      </c>
      <c r="W21" s="68">
        <f t="shared" si="3"/>
        <v>146.06976048087796</v>
      </c>
      <c r="X21" s="69">
        <f t="shared" si="4"/>
        <v>1899.6674100984235</v>
      </c>
      <c r="Y21" s="69">
        <v>2070</v>
      </c>
    </row>
    <row r="22" spans="3:25" ht="12.75">
      <c r="C22">
        <v>280</v>
      </c>
      <c r="D22" s="39">
        <f t="shared" si="0"/>
        <v>165.89546428</v>
      </c>
      <c r="E22" s="68">
        <v>192.59619773135347</v>
      </c>
      <c r="F22" s="68">
        <v>538.1172568145454</v>
      </c>
      <c r="G22" s="68">
        <v>1945.7055418181817</v>
      </c>
      <c r="H22" s="68">
        <v>0</v>
      </c>
      <c r="I22" s="68">
        <v>1647.187057888569</v>
      </c>
      <c r="J22" s="68">
        <v>249.50096522584843</v>
      </c>
      <c r="K22" s="68">
        <v>43.338594269731026</v>
      </c>
      <c r="L22" s="68">
        <f t="shared" si="1"/>
        <v>292.83955949557946</v>
      </c>
      <c r="M22" s="69">
        <f t="shared" si="2"/>
        <v>2969.25855585966</v>
      </c>
      <c r="N22" s="69">
        <v>2209</v>
      </c>
      <c r="O22" s="68"/>
      <c r="P22" s="68">
        <v>206.80942909062657</v>
      </c>
      <c r="Q22" s="68">
        <v>523.408628876302</v>
      </c>
      <c r="R22" s="68">
        <v>1667.6120180363635</v>
      </c>
      <c r="S22" s="68">
        <v>0</v>
      </c>
      <c r="T22" s="68">
        <v>1464.507290384268</v>
      </c>
      <c r="U22" s="68">
        <v>174.3066310254255</v>
      </c>
      <c r="V22" s="68">
        <v>41.605050498941786</v>
      </c>
      <c r="W22" s="68">
        <f t="shared" si="3"/>
        <v>215.91168152436728</v>
      </c>
      <c r="X22" s="69">
        <f t="shared" si="4"/>
        <v>2613.741757527659</v>
      </c>
      <c r="Y22" s="69">
        <v>2070</v>
      </c>
    </row>
    <row r="23" spans="4:25" ht="12.75">
      <c r="D23" s="39"/>
      <c r="M23" s="51"/>
      <c r="N23" s="69"/>
      <c r="X23" s="51"/>
      <c r="Y23" s="69"/>
    </row>
  </sheetData>
  <mergeCells count="19">
    <mergeCell ref="B3:C5"/>
    <mergeCell ref="B6:C6"/>
    <mergeCell ref="B7:C7"/>
    <mergeCell ref="E11:N11"/>
    <mergeCell ref="D4:E4"/>
    <mergeCell ref="F4:G4"/>
    <mergeCell ref="F3:G3"/>
    <mergeCell ref="K3:L3"/>
    <mergeCell ref="K4:L4"/>
    <mergeCell ref="M3:N3"/>
    <mergeCell ref="U12:W12"/>
    <mergeCell ref="D3:E3"/>
    <mergeCell ref="E12:F12"/>
    <mergeCell ref="P12:Q12"/>
    <mergeCell ref="J12:L12"/>
    <mergeCell ref="P11:Y11"/>
    <mergeCell ref="H3:J3"/>
    <mergeCell ref="H4:J4"/>
    <mergeCell ref="M4:N4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BJ47"/>
  <sheetViews>
    <sheetView workbookViewId="0" topLeftCell="A1">
      <pane xSplit="2" topLeftCell="C1" activePane="topRight" state="frozen"/>
      <selection pane="topLeft" activeCell="A1" sqref="A1"/>
      <selection pane="topRight" activeCell="BI11" sqref="BI11"/>
    </sheetView>
  </sheetViews>
  <sheetFormatPr defaultColWidth="9.140625" defaultRowHeight="12.75"/>
  <cols>
    <col min="2" max="2" width="26.00390625" style="0" customWidth="1"/>
    <col min="3" max="3" width="10.28125" style="0" customWidth="1"/>
    <col min="4" max="4" width="10.00390625" style="0" customWidth="1"/>
    <col min="5" max="6" width="9.28125" style="0" bestFit="1" customWidth="1"/>
    <col min="7" max="7" width="10.28125" style="0" customWidth="1"/>
    <col min="8" max="8" width="9.8515625" style="0" customWidth="1"/>
    <col min="9" max="17" width="9.28125" style="0" customWidth="1"/>
    <col min="18" max="18" width="9.421875" style="0" customWidth="1"/>
    <col min="19" max="20" width="10.28125" style="0" bestFit="1" customWidth="1"/>
    <col min="21" max="22" width="10.140625" style="0" customWidth="1"/>
    <col min="23" max="23" width="9.28125" style="0" bestFit="1" customWidth="1"/>
    <col min="24" max="24" width="9.28125" style="0" customWidth="1"/>
    <col min="25" max="25" width="9.28125" style="0" bestFit="1" customWidth="1"/>
    <col min="27" max="27" width="2.28125" style="0" customWidth="1"/>
    <col min="28" max="38" width="9.7109375" style="0" customWidth="1"/>
    <col min="39" max="39" width="11.28125" style="0" customWidth="1"/>
    <col min="40" max="40" width="11.140625" style="0" customWidth="1"/>
    <col min="42" max="42" width="10.8515625" style="0" customWidth="1"/>
    <col min="50" max="50" width="2.00390625" style="0" customWidth="1"/>
    <col min="51" max="51" width="9.28125" style="0" bestFit="1" customWidth="1"/>
    <col min="52" max="53" width="9.28125" style="0" customWidth="1"/>
    <col min="54" max="54" width="10.7109375" style="0" customWidth="1"/>
    <col min="55" max="56" width="10.00390625" style="0" customWidth="1"/>
    <col min="57" max="57" width="9.57421875" style="0" customWidth="1"/>
    <col min="60" max="60" width="2.8515625" style="0" customWidth="1"/>
  </cols>
  <sheetData>
    <row r="2" ht="12.75">
      <c r="C2" s="20" t="s">
        <v>83</v>
      </c>
    </row>
    <row r="3" ht="13.5" thickBot="1">
      <c r="C3" s="20"/>
    </row>
    <row r="4" spans="3:62" ht="13.5" thickBot="1">
      <c r="C4" s="123" t="s">
        <v>66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4"/>
      <c r="AB4" s="123" t="s">
        <v>65</v>
      </c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4"/>
      <c r="AY4" s="123" t="s">
        <v>160</v>
      </c>
      <c r="AZ4" s="128"/>
      <c r="BA4" s="128"/>
      <c r="BB4" s="128"/>
      <c r="BC4" s="128"/>
      <c r="BD4" s="128"/>
      <c r="BE4" s="128"/>
      <c r="BF4" s="128"/>
      <c r="BG4" s="124"/>
      <c r="BI4" s="123" t="s">
        <v>182</v>
      </c>
      <c r="BJ4" s="124"/>
    </row>
    <row r="5" spans="3:62" s="7" customFormat="1" ht="37.5" customHeight="1">
      <c r="C5" s="7" t="s">
        <v>26</v>
      </c>
      <c r="D5" s="7" t="s">
        <v>29</v>
      </c>
      <c r="E5" s="7" t="s">
        <v>27</v>
      </c>
      <c r="F5" s="7" t="s">
        <v>30</v>
      </c>
      <c r="G5" s="7" t="s">
        <v>5</v>
      </c>
      <c r="H5" s="7" t="s">
        <v>79</v>
      </c>
      <c r="I5" s="7" t="s">
        <v>80</v>
      </c>
      <c r="J5" s="7" t="s">
        <v>81</v>
      </c>
      <c r="K5" s="7" t="s">
        <v>82</v>
      </c>
      <c r="L5" s="7" t="s">
        <v>73</v>
      </c>
      <c r="M5" s="7" t="s">
        <v>94</v>
      </c>
      <c r="N5" s="7" t="s">
        <v>74</v>
      </c>
      <c r="O5" s="7" t="s">
        <v>75</v>
      </c>
      <c r="P5" s="7" t="s">
        <v>76</v>
      </c>
      <c r="Q5" s="7" t="s">
        <v>91</v>
      </c>
      <c r="R5" s="7" t="s">
        <v>6</v>
      </c>
      <c r="S5" s="7" t="s">
        <v>7</v>
      </c>
      <c r="T5" s="7" t="s">
        <v>31</v>
      </c>
      <c r="U5" s="7" t="s">
        <v>28</v>
      </c>
      <c r="V5" s="7" t="s">
        <v>78</v>
      </c>
      <c r="W5" s="7" t="s">
        <v>37</v>
      </c>
      <c r="X5" s="7" t="s">
        <v>97</v>
      </c>
      <c r="Y5" s="7" t="s">
        <v>32</v>
      </c>
      <c r="Z5" s="7" t="s">
        <v>3</v>
      </c>
      <c r="AB5" s="7" t="s">
        <v>69</v>
      </c>
      <c r="AC5" s="7" t="s">
        <v>71</v>
      </c>
      <c r="AD5" s="7" t="s">
        <v>84</v>
      </c>
      <c r="AE5" s="7" t="s">
        <v>84</v>
      </c>
      <c r="AF5" s="7" t="s">
        <v>92</v>
      </c>
      <c r="AG5" s="7" t="s">
        <v>88</v>
      </c>
      <c r="AH5" s="7" t="s">
        <v>99</v>
      </c>
      <c r="AI5" s="7" t="s">
        <v>103</v>
      </c>
      <c r="AJ5" s="40" t="s">
        <v>106</v>
      </c>
      <c r="AK5" s="40" t="s">
        <v>105</v>
      </c>
      <c r="AL5" s="7" t="s">
        <v>104</v>
      </c>
      <c r="AM5" s="7" t="s">
        <v>100</v>
      </c>
      <c r="AN5" s="7" t="s">
        <v>100</v>
      </c>
      <c r="AO5" s="7" t="s">
        <v>67</v>
      </c>
      <c r="AP5" s="7" t="s">
        <v>68</v>
      </c>
      <c r="AQ5" s="7" t="s">
        <v>89</v>
      </c>
      <c r="AR5" s="7" t="s">
        <v>90</v>
      </c>
      <c r="AS5" s="7" t="s">
        <v>86</v>
      </c>
      <c r="AT5" s="7" t="s">
        <v>67</v>
      </c>
      <c r="AU5" s="7" t="s">
        <v>68</v>
      </c>
      <c r="AV5" s="7" t="s">
        <v>96</v>
      </c>
      <c r="AY5" s="7" t="s">
        <v>153</v>
      </c>
      <c r="AZ5" s="7" t="s">
        <v>163</v>
      </c>
      <c r="BA5" s="7" t="s">
        <v>164</v>
      </c>
      <c r="BB5" s="7" t="s">
        <v>167</v>
      </c>
      <c r="BC5" s="7" t="s">
        <v>168</v>
      </c>
      <c r="BD5" s="7" t="s">
        <v>177</v>
      </c>
      <c r="BE5" s="7" t="s">
        <v>165</v>
      </c>
      <c r="BF5" s="7" t="s">
        <v>178</v>
      </c>
      <c r="BG5" s="7" t="s">
        <v>180</v>
      </c>
      <c r="BI5" s="7" t="s">
        <v>183</v>
      </c>
      <c r="BJ5" s="7" t="s">
        <v>182</v>
      </c>
    </row>
    <row r="6" spans="2:62" ht="12.75">
      <c r="B6" s="2" t="s">
        <v>117</v>
      </c>
      <c r="C6" s="2" t="s">
        <v>23</v>
      </c>
      <c r="D6" s="2" t="s">
        <v>25</v>
      </c>
      <c r="E6" s="2" t="s">
        <v>23</v>
      </c>
      <c r="F6" s="2" t="s">
        <v>25</v>
      </c>
      <c r="G6" s="2" t="s">
        <v>23</v>
      </c>
      <c r="H6" s="2" t="s">
        <v>23</v>
      </c>
      <c r="I6" s="2" t="s">
        <v>23</v>
      </c>
      <c r="J6" s="2"/>
      <c r="K6" s="2"/>
      <c r="L6" s="2" t="s">
        <v>72</v>
      </c>
      <c r="M6" s="2" t="s">
        <v>95</v>
      </c>
      <c r="N6" s="2" t="s">
        <v>72</v>
      </c>
      <c r="O6" s="2"/>
      <c r="P6" s="2"/>
      <c r="Q6" s="2"/>
      <c r="R6" s="2" t="s">
        <v>24</v>
      </c>
      <c r="S6" s="2" t="s">
        <v>24</v>
      </c>
      <c r="T6" s="2" t="s">
        <v>24</v>
      </c>
      <c r="U6" s="2" t="s">
        <v>4</v>
      </c>
      <c r="V6" s="2" t="s">
        <v>4</v>
      </c>
      <c r="W6" s="2" t="s">
        <v>4</v>
      </c>
      <c r="X6" s="2" t="s">
        <v>4</v>
      </c>
      <c r="Y6" s="2" t="s">
        <v>33</v>
      </c>
      <c r="Z6" s="2" t="s">
        <v>25</v>
      </c>
      <c r="AA6" s="2"/>
      <c r="AB6" s="2" t="s">
        <v>23</v>
      </c>
      <c r="AC6" s="2" t="s">
        <v>70</v>
      </c>
      <c r="AD6" s="2" t="s">
        <v>85</v>
      </c>
      <c r="AE6" s="2" t="s">
        <v>93</v>
      </c>
      <c r="AF6" s="2"/>
      <c r="AG6" s="2" t="s">
        <v>85</v>
      </c>
      <c r="AH6" s="2" t="s">
        <v>87</v>
      </c>
      <c r="AI6" s="2" t="s">
        <v>87</v>
      </c>
      <c r="AJ6" s="41" t="s">
        <v>87</v>
      </c>
      <c r="AK6" s="41" t="s">
        <v>87</v>
      </c>
      <c r="AL6" s="2" t="s">
        <v>85</v>
      </c>
      <c r="AM6" s="2" t="s">
        <v>101</v>
      </c>
      <c r="AN6" s="2" t="s">
        <v>102</v>
      </c>
      <c r="AO6" s="2" t="s">
        <v>77</v>
      </c>
      <c r="AP6" s="2" t="s">
        <v>77</v>
      </c>
      <c r="AQ6" s="2" t="s">
        <v>77</v>
      </c>
      <c r="AR6" s="2" t="s">
        <v>77</v>
      </c>
      <c r="AS6" s="2" t="s">
        <v>87</v>
      </c>
      <c r="AT6" s="2" t="s">
        <v>77</v>
      </c>
      <c r="AU6" s="2" t="s">
        <v>77</v>
      </c>
      <c r="AV6" s="2" t="s">
        <v>77</v>
      </c>
      <c r="AW6" s="2"/>
      <c r="AX6" s="52"/>
      <c r="AY6" s="80" t="s">
        <v>161</v>
      </c>
      <c r="AZ6" s="2" t="s">
        <v>162</v>
      </c>
      <c r="BA6" s="2" t="s">
        <v>162</v>
      </c>
      <c r="BB6" s="2" t="s">
        <v>162</v>
      </c>
      <c r="BC6" s="2" t="s">
        <v>77</v>
      </c>
      <c r="BD6" s="2" t="s">
        <v>77</v>
      </c>
      <c r="BE6" s="2" t="s">
        <v>166</v>
      </c>
      <c r="BF6" s="2" t="s">
        <v>179</v>
      </c>
      <c r="BG6" s="80" t="s">
        <v>181</v>
      </c>
      <c r="BI6" s="2"/>
      <c r="BJ6" s="2"/>
    </row>
    <row r="7" spans="2:50" ht="15.75">
      <c r="B7" s="1" t="s">
        <v>0</v>
      </c>
      <c r="C7" s="12">
        <f>12.6*2</f>
        <v>25.2</v>
      </c>
      <c r="D7" s="9">
        <f>(C7/2)^2*PI()</f>
        <v>498.7592496839155</v>
      </c>
      <c r="E7" s="16">
        <f>C7/6</f>
        <v>4.2</v>
      </c>
      <c r="F7" s="9">
        <f>(E7/2)^2*PI()</f>
        <v>13.854423602330987</v>
      </c>
      <c r="G7" s="12">
        <f>C7/2+E7/2+1</f>
        <v>15.7</v>
      </c>
      <c r="H7" s="25" t="s">
        <v>62</v>
      </c>
      <c r="I7" s="25" t="s">
        <v>62</v>
      </c>
      <c r="J7" s="25" t="s">
        <v>62</v>
      </c>
      <c r="K7" s="25" t="s">
        <v>62</v>
      </c>
      <c r="L7" s="16">
        <v>725</v>
      </c>
      <c r="M7" s="28">
        <f aca="true" t="shared" si="0" ref="M7:M12">L7/(C7/2)</f>
        <v>57.53968253968254</v>
      </c>
      <c r="N7" s="16">
        <v>685</v>
      </c>
      <c r="O7" s="17">
        <v>1.15</v>
      </c>
      <c r="P7" s="24">
        <v>0.008</v>
      </c>
      <c r="Q7" s="16">
        <v>4.7</v>
      </c>
      <c r="R7" s="9">
        <v>1300</v>
      </c>
      <c r="S7" s="9">
        <v>796</v>
      </c>
      <c r="T7" s="9">
        <f>19.2*6.8</f>
        <v>130.56</v>
      </c>
      <c r="U7" s="14" t="s">
        <v>62</v>
      </c>
      <c r="V7" s="34" t="s">
        <v>62</v>
      </c>
      <c r="W7" s="32">
        <v>124</v>
      </c>
      <c r="X7" s="29">
        <v>0</v>
      </c>
      <c r="Y7" s="15">
        <v>2.61</v>
      </c>
      <c r="Z7" s="16">
        <v>5.5</v>
      </c>
      <c r="AA7" s="9"/>
      <c r="AB7" s="37">
        <v>0</v>
      </c>
      <c r="AC7" s="22">
        <f aca="true" t="shared" si="1" ref="AC7:AC12">EXP((-0.0297*AB7)/1000)*0.002378</f>
        <v>0.002378</v>
      </c>
      <c r="AD7" s="36">
        <v>0</v>
      </c>
      <c r="AE7" s="22">
        <v>0</v>
      </c>
      <c r="AF7" s="22">
        <v>0</v>
      </c>
      <c r="AG7" s="36">
        <v>0</v>
      </c>
      <c r="AH7" s="22">
        <v>0</v>
      </c>
      <c r="AI7" s="22">
        <v>0</v>
      </c>
      <c r="AJ7" s="42">
        <v>0</v>
      </c>
      <c r="AK7" s="42">
        <v>0</v>
      </c>
      <c r="AL7" s="44">
        <v>0</v>
      </c>
      <c r="AM7" s="22">
        <v>0</v>
      </c>
      <c r="AN7" s="22">
        <v>0</v>
      </c>
      <c r="AO7" s="9">
        <v>0</v>
      </c>
      <c r="AP7" s="9">
        <v>0</v>
      </c>
      <c r="AQ7" s="9">
        <v>0</v>
      </c>
      <c r="AR7" s="9">
        <v>0</v>
      </c>
      <c r="AS7" s="13">
        <v>0</v>
      </c>
      <c r="AT7" s="13">
        <v>0</v>
      </c>
      <c r="AU7" s="13">
        <v>0</v>
      </c>
      <c r="AV7" s="30">
        <f aca="true" t="shared" si="2" ref="AV7:AV12">AO7+AP7+AQ7+AR7+AT7+AU7</f>
        <v>0</v>
      </c>
      <c r="AX7" s="9"/>
    </row>
    <row r="8" spans="2:53" ht="15.75">
      <c r="B8" s="1" t="s">
        <v>1</v>
      </c>
      <c r="C8" s="19">
        <f>140*2/12</f>
        <v>23.333333333333332</v>
      </c>
      <c r="D8" s="9">
        <f>(C8/2)^2*PI()</f>
        <v>427.60566673861064</v>
      </c>
      <c r="E8" s="16">
        <f>1.4*3.2808399</f>
        <v>4.59317586</v>
      </c>
      <c r="F8" s="9">
        <f>(E8/2)^2*PI()</f>
        <v>16.569752775998662</v>
      </c>
      <c r="G8" s="12">
        <f>C8/2+E8/2+1</f>
        <v>14.963254596666665</v>
      </c>
      <c r="H8" s="25" t="s">
        <v>62</v>
      </c>
      <c r="I8" s="25" t="s">
        <v>62</v>
      </c>
      <c r="J8" s="25" t="s">
        <v>62</v>
      </c>
      <c r="K8" s="25" t="s">
        <v>62</v>
      </c>
      <c r="L8" s="16">
        <v>725</v>
      </c>
      <c r="M8" s="28">
        <f t="shared" si="0"/>
        <v>62.142857142857146</v>
      </c>
      <c r="N8" s="16">
        <v>685</v>
      </c>
      <c r="O8" s="17">
        <v>1.15</v>
      </c>
      <c r="P8" s="24">
        <v>0.008</v>
      </c>
      <c r="Q8" s="16">
        <v>4.7</v>
      </c>
      <c r="R8" s="9">
        <v>1850</v>
      </c>
      <c r="S8" s="9">
        <v>1008</v>
      </c>
      <c r="T8" s="14" t="s">
        <v>62</v>
      </c>
      <c r="U8" s="9">
        <v>180</v>
      </c>
      <c r="V8" s="46">
        <f>U8*(1-0.305)</f>
        <v>125.10000000000001</v>
      </c>
      <c r="W8" s="33">
        <f>U8*0.85</f>
        <v>153</v>
      </c>
      <c r="X8" s="46">
        <f>W8*(1-0.305)</f>
        <v>106.33500000000001</v>
      </c>
      <c r="Y8" s="17">
        <f>R8/D8</f>
        <v>4.326416004049074</v>
      </c>
      <c r="Z8" s="16">
        <v>4.5</v>
      </c>
      <c r="AA8" s="9"/>
      <c r="AB8" s="37">
        <v>0</v>
      </c>
      <c r="AC8" s="22">
        <f t="shared" si="1"/>
        <v>0.002378</v>
      </c>
      <c r="AD8" s="36">
        <v>0</v>
      </c>
      <c r="AE8" s="22">
        <v>0</v>
      </c>
      <c r="AF8" s="22">
        <v>0</v>
      </c>
      <c r="AG8" s="36">
        <v>0</v>
      </c>
      <c r="AH8" s="22">
        <v>0</v>
      </c>
      <c r="AI8" s="22">
        <v>0</v>
      </c>
      <c r="AJ8" s="42">
        <v>0</v>
      </c>
      <c r="AK8" s="42">
        <v>0</v>
      </c>
      <c r="AL8" s="44">
        <v>0</v>
      </c>
      <c r="AM8" s="22">
        <v>0</v>
      </c>
      <c r="AN8" s="22">
        <v>0</v>
      </c>
      <c r="AO8" s="9">
        <v>0</v>
      </c>
      <c r="AP8" s="9">
        <v>0</v>
      </c>
      <c r="AQ8" s="9">
        <v>0</v>
      </c>
      <c r="AR8" s="9">
        <v>0</v>
      </c>
      <c r="AS8" s="13">
        <v>0</v>
      </c>
      <c r="AT8" s="13">
        <v>0</v>
      </c>
      <c r="AU8" s="13">
        <v>0</v>
      </c>
      <c r="AV8" s="30">
        <f t="shared" si="2"/>
        <v>0</v>
      </c>
      <c r="AX8" s="9"/>
      <c r="AZ8" s="83"/>
      <c r="BA8" s="83"/>
    </row>
    <row r="9" spans="2:53" ht="15.75">
      <c r="B9" s="1" t="s">
        <v>63</v>
      </c>
      <c r="C9" s="12">
        <v>26.3</v>
      </c>
      <c r="D9" s="9">
        <f>(C9/2)^2*PI()</f>
        <v>543.2520556403811</v>
      </c>
      <c r="E9" s="16">
        <f>1.4*3.2808399</f>
        <v>4.59317586</v>
      </c>
      <c r="F9" s="9">
        <f>(E9/2)^2*PI()</f>
        <v>16.569752775998662</v>
      </c>
      <c r="G9" s="12">
        <f>C9/2+E9/2+1</f>
        <v>16.44658793</v>
      </c>
      <c r="H9" s="25" t="s">
        <v>62</v>
      </c>
      <c r="I9" s="25" t="s">
        <v>62</v>
      </c>
      <c r="J9" s="25" t="s">
        <v>62</v>
      </c>
      <c r="K9" s="25" t="s">
        <v>62</v>
      </c>
      <c r="L9" s="16">
        <v>725</v>
      </c>
      <c r="M9" s="28">
        <f t="shared" si="0"/>
        <v>55.133079847908746</v>
      </c>
      <c r="N9" s="16">
        <v>685</v>
      </c>
      <c r="O9" s="17">
        <v>1.15</v>
      </c>
      <c r="P9" s="24">
        <v>0.008</v>
      </c>
      <c r="Q9" s="16">
        <v>4.7</v>
      </c>
      <c r="R9" s="9">
        <f>1361*2.20462262</f>
        <v>3000.49138582</v>
      </c>
      <c r="S9" s="9">
        <f>896*2.20462262</f>
        <v>1975.3418675199998</v>
      </c>
      <c r="T9" s="9">
        <f>6.8*63.4012923</f>
        <v>431.12878764</v>
      </c>
      <c r="U9" s="11">
        <v>317</v>
      </c>
      <c r="V9" s="46">
        <f>U9*(1-0.305)</f>
        <v>220.31500000000003</v>
      </c>
      <c r="W9" s="33">
        <v>252.5</v>
      </c>
      <c r="X9" s="46">
        <f>W9*(1-0.305)</f>
        <v>175.4875</v>
      </c>
      <c r="Y9" s="17">
        <f>R9/D9</f>
        <v>5.523203004327421</v>
      </c>
      <c r="Z9" s="16">
        <v>6</v>
      </c>
      <c r="AA9" s="9"/>
      <c r="AB9" s="37">
        <v>0</v>
      </c>
      <c r="AC9" s="22">
        <f t="shared" si="1"/>
        <v>0.002378</v>
      </c>
      <c r="AD9" s="36">
        <v>0</v>
      </c>
      <c r="AE9" s="22">
        <v>0</v>
      </c>
      <c r="AF9" s="22">
        <v>0</v>
      </c>
      <c r="AG9" s="36">
        <v>0</v>
      </c>
      <c r="AH9" s="22">
        <v>0</v>
      </c>
      <c r="AI9" s="22">
        <v>0</v>
      </c>
      <c r="AJ9" s="42">
        <v>0</v>
      </c>
      <c r="AK9" s="42">
        <v>0</v>
      </c>
      <c r="AL9" s="44">
        <v>0</v>
      </c>
      <c r="AM9" s="22">
        <v>0</v>
      </c>
      <c r="AN9" s="22">
        <v>0</v>
      </c>
      <c r="AO9" s="9">
        <v>0</v>
      </c>
      <c r="AP9" s="9">
        <v>0</v>
      </c>
      <c r="AQ9" s="9">
        <v>0</v>
      </c>
      <c r="AR9" s="9">
        <v>0</v>
      </c>
      <c r="AS9" s="13">
        <v>0</v>
      </c>
      <c r="AT9" s="13">
        <v>0</v>
      </c>
      <c r="AU9" s="13">
        <v>0</v>
      </c>
      <c r="AV9" s="30">
        <f t="shared" si="2"/>
        <v>0</v>
      </c>
      <c r="AX9" s="9"/>
      <c r="AZ9" s="83"/>
      <c r="BA9" s="83"/>
    </row>
    <row r="10" spans="2:62" ht="15.75">
      <c r="B10" s="86" t="s">
        <v>8</v>
      </c>
      <c r="C10" s="12">
        <v>48</v>
      </c>
      <c r="D10" s="9">
        <f>(C10/2)^2*PI()</f>
        <v>1809.5573684677208</v>
      </c>
      <c r="E10" s="12">
        <f>9+2/12</f>
        <v>9.166666666666666</v>
      </c>
      <c r="F10" s="9">
        <f>(E10/2)^2*PI()</f>
        <v>65.99526234103558</v>
      </c>
      <c r="G10" s="12">
        <f>C10/2+E10/2+1</f>
        <v>29.583333333333332</v>
      </c>
      <c r="H10" s="16">
        <v>2</v>
      </c>
      <c r="I10" s="16">
        <v>1</v>
      </c>
      <c r="J10" s="21">
        <f>(4*H10*(C10/2))/D10</f>
        <v>0.1061032953945969</v>
      </c>
      <c r="K10" s="21">
        <f>(4*I10*(E10/2))/F10</f>
        <v>0.2777977188513082</v>
      </c>
      <c r="L10" s="16">
        <v>725</v>
      </c>
      <c r="M10" s="28">
        <f t="shared" si="0"/>
        <v>30.208333333333332</v>
      </c>
      <c r="N10" s="16">
        <v>685</v>
      </c>
      <c r="O10" s="47">
        <v>1.15</v>
      </c>
      <c r="P10" s="24">
        <v>0.008</v>
      </c>
      <c r="Q10" s="16">
        <v>4.7</v>
      </c>
      <c r="R10" s="9">
        <v>14445</v>
      </c>
      <c r="S10" s="9">
        <v>11387</v>
      </c>
      <c r="T10" s="9">
        <v>2442</v>
      </c>
      <c r="U10" s="9">
        <f>2*1890</f>
        <v>3780</v>
      </c>
      <c r="V10" s="35">
        <f>(U10*(1-0.305)-100)*(AC10/0.002378)</f>
        <v>2527.1000000000004</v>
      </c>
      <c r="W10" s="32">
        <f>1660*2</f>
        <v>3320</v>
      </c>
      <c r="X10" s="35">
        <f>(W10*(1-0.305)-100)*(AC10/0.002376)</f>
        <v>2209.258080808081</v>
      </c>
      <c r="Y10" s="15">
        <v>12.71</v>
      </c>
      <c r="Z10" s="16">
        <v>41</v>
      </c>
      <c r="AA10" s="9"/>
      <c r="AB10" s="37">
        <v>0</v>
      </c>
      <c r="AC10" s="22">
        <f t="shared" si="1"/>
        <v>0.002378</v>
      </c>
      <c r="AD10" s="37">
        <v>168.7</v>
      </c>
      <c r="AE10" s="23">
        <f>AD10*0.592483801</f>
        <v>99.95201722869999</v>
      </c>
      <c r="AF10" s="23">
        <f>AD10/L10</f>
        <v>0.23268965517241377</v>
      </c>
      <c r="AG10" s="50">
        <f>AG15</f>
        <v>0</v>
      </c>
      <c r="AH10" s="23">
        <f>0.5*AC10*AD10^2*Z10</f>
        <v>1387.3814278099996</v>
      </c>
      <c r="AI10" s="23">
        <f>SQRT(AH10^2+R10^2)</f>
        <v>14511.473123919299</v>
      </c>
      <c r="AJ10" s="43">
        <f>2*AC10*D10*AL10*SQRT((AD10*COS(AM10))^2+(AD10*SIN(AM10)+AL10)^2)</f>
        <v>14511.47312385448</v>
      </c>
      <c r="AK10" s="43">
        <f>AI10-AJ10</f>
        <v>6.48196873953566E-08</v>
      </c>
      <c r="AL10" s="45">
        <v>9.922295767860003</v>
      </c>
      <c r="AM10" s="38">
        <f>ATAN(AH10/R10)</f>
        <v>0.09575207914262689</v>
      </c>
      <c r="AN10" s="38">
        <f>AM10*(180/PI())</f>
        <v>5.4861900144751585</v>
      </c>
      <c r="AO10" s="9">
        <f>(AI10*O10*AL10)/550</f>
        <v>301.06399566783716</v>
      </c>
      <c r="AP10" s="9">
        <f>(AC10*D10*L10^3*((J10*P10)/8)*(1+Q10*AF10^2))/550</f>
        <v>396.85130894283054</v>
      </c>
      <c r="AQ10" s="27">
        <f>(0.5*AC10*AD10^3*Z10)/550</f>
        <v>425.5477215846308</v>
      </c>
      <c r="AR10" s="26">
        <f>(R10*AG10)/550</f>
        <v>0</v>
      </c>
      <c r="AS10" s="39">
        <f>((AO10+AP10+AQ10+AR10)*550)/(M10*G10)</f>
        <v>691.4290173844985</v>
      </c>
      <c r="AT10" s="9">
        <f>((O10*AS10^(3/2)/SQRT(2*AC10*F10)))/550</f>
        <v>67.85459312717182</v>
      </c>
      <c r="AU10" s="9">
        <f>(AC10*F10*N10^3*((K10*P10)/8)*(1+Q10*AF10^2))/550</f>
        <v>31.961394372476704</v>
      </c>
      <c r="AV10" s="31">
        <f>AO10+AP10+AQ10+AR10+AT10+AU10</f>
        <v>1223.279013694947</v>
      </c>
      <c r="AX10" s="9"/>
      <c r="AY10">
        <f>0.459</f>
        <v>0.459</v>
      </c>
      <c r="AZ10" s="83">
        <f>U10*AY10</f>
        <v>1735.02</v>
      </c>
      <c r="BA10" s="83">
        <f>W10*AY10</f>
        <v>1523.88</v>
      </c>
      <c r="BB10" s="81">
        <f>(AV10*1.305+100)*AY10</f>
        <v>778.6380128082048</v>
      </c>
      <c r="BC10" s="13">
        <f>1002*1.305+100</f>
        <v>1407.61</v>
      </c>
      <c r="BD10" s="13">
        <f>1223*1.305+100</f>
        <v>1696.0149999999999</v>
      </c>
      <c r="BE10" s="82">
        <f>G31/(AY10*BC10)</f>
        <v>2.9541103673017717</v>
      </c>
      <c r="BF10">
        <f>168.7*3600</f>
        <v>607320</v>
      </c>
      <c r="BG10">
        <f>779</f>
        <v>779</v>
      </c>
      <c r="BI10">
        <v>4000</v>
      </c>
      <c r="BJ10" s="100">
        <f>(BI10*M10^2)/(2*R10*Y10)</f>
        <v>9.940779225007716</v>
      </c>
    </row>
    <row r="11" spans="2:62" ht="15.75">
      <c r="B11" s="86" t="s">
        <v>2</v>
      </c>
      <c r="C11" s="12">
        <v>53.7</v>
      </c>
      <c r="D11" s="9">
        <f>(C11/2)^2*PI()</f>
        <v>2264.844829807588</v>
      </c>
      <c r="E11" s="12">
        <v>11</v>
      </c>
      <c r="F11" s="9">
        <f>(E11/2)^2*PI()</f>
        <v>95.03317777109125</v>
      </c>
      <c r="G11" s="12">
        <f>C11/2+E11/2+1</f>
        <v>33.35</v>
      </c>
      <c r="H11" s="12">
        <v>1.73884514</v>
      </c>
      <c r="I11" s="16">
        <v>0.8</v>
      </c>
      <c r="J11" s="21">
        <f>(4*H11*(C11/2))/D11</f>
        <v>0.08245684895413594</v>
      </c>
      <c r="K11" s="21">
        <f>(4*I11*(E11/2))/F11</f>
        <v>0.1851984792342055</v>
      </c>
      <c r="L11" s="16">
        <v>725</v>
      </c>
      <c r="M11" s="28">
        <f t="shared" si="0"/>
        <v>27.00186219739292</v>
      </c>
      <c r="N11" s="16">
        <v>685</v>
      </c>
      <c r="O11" s="47">
        <v>1.15</v>
      </c>
      <c r="P11" s="24">
        <v>0.008</v>
      </c>
      <c r="Q11" s="16">
        <v>4.7</v>
      </c>
      <c r="R11" s="9">
        <v>16994</v>
      </c>
      <c r="S11" s="9">
        <v>11284</v>
      </c>
      <c r="T11" s="9">
        <f>360*6.8</f>
        <v>2448</v>
      </c>
      <c r="U11" s="9">
        <f>1723*2</f>
        <v>3446</v>
      </c>
      <c r="V11" s="35">
        <f>(U11*(1-0.305)-100)*(AC11/0.002378)</f>
        <v>2294.9700000000003</v>
      </c>
      <c r="W11" s="32">
        <f>1560*2</f>
        <v>3120</v>
      </c>
      <c r="X11" s="35">
        <f>(W11*(1-0.305)-100)*(AC11/0.002376)</f>
        <v>2070.1410774410774</v>
      </c>
      <c r="Y11" s="15">
        <v>7.52</v>
      </c>
      <c r="Z11" s="12">
        <v>35.14</v>
      </c>
      <c r="AA11" s="9"/>
      <c r="AB11" s="37">
        <v>0</v>
      </c>
      <c r="AC11" s="22">
        <f t="shared" si="1"/>
        <v>0.002378</v>
      </c>
      <c r="AD11" s="37">
        <v>182.3</v>
      </c>
      <c r="AE11" s="23">
        <f>AD11*0.592483801</f>
        <v>108.0097969223</v>
      </c>
      <c r="AF11" s="23">
        <f>AD11/L11</f>
        <v>0.25144827586206897</v>
      </c>
      <c r="AG11" s="50">
        <f>AG15</f>
        <v>0</v>
      </c>
      <c r="AH11" s="23">
        <f>0.5*AC11*AD11^2*Z11</f>
        <v>1388.5353768034</v>
      </c>
      <c r="AI11" s="23">
        <f>SQRT(AH11^2+R11^2)</f>
        <v>17050.632436734846</v>
      </c>
      <c r="AJ11" s="43">
        <f>2*AC11*D11*AL11*SQRT((AD11*COS(AM11))^2+(AD11*SIN(AM11)+AL11)^2)</f>
        <v>17050.63243672617</v>
      </c>
      <c r="AK11" s="43">
        <f>AI11-AJ11</f>
        <v>8.676579454913735E-09</v>
      </c>
      <c r="AL11" s="45">
        <v>8.640129002966363</v>
      </c>
      <c r="AM11" s="38">
        <f>ATAN(AH11/R11)</f>
        <v>0.08152628553502016</v>
      </c>
      <c r="AN11" s="38">
        <f>AM11*(180/PI())</f>
        <v>4.671112080535107</v>
      </c>
      <c r="AO11" s="9">
        <f>(AI11*O11*AL11)/550</f>
        <v>308.03202438342646</v>
      </c>
      <c r="AP11" s="9">
        <f>(AC11*D11*L11^3*((J11*P11)/8)*(1+Q11*AF11^2))/550</f>
        <v>399.1379503383432</v>
      </c>
      <c r="AQ11" s="27">
        <f>(0.5*AC11*AD11^3*Z11)/550</f>
        <v>460.236362165927</v>
      </c>
      <c r="AR11" s="26">
        <f>(R11*AG11)/550</f>
        <v>0</v>
      </c>
      <c r="AS11" s="39">
        <f>((AO11+AP11+AQ11+AR11)*550)/(M11*G11)</f>
        <v>713.0092779812463</v>
      </c>
      <c r="AT11" s="9">
        <f>((O11*AS11^(3/2)/SQRT(2*AC11*F11)))/550</f>
        <v>59.21331478153857</v>
      </c>
      <c r="AU11" s="9">
        <f>(AC11*F11*N11^3*((K11*P11)/8)*(1+Q11*AF11^2))/550</f>
        <v>31.72694079484778</v>
      </c>
      <c r="AV11" s="31">
        <f>AO11+AP11+AQ11+AR11+AT11+AU11</f>
        <v>1258.346592464083</v>
      </c>
      <c r="AX11" s="9"/>
      <c r="AY11" s="84">
        <f>BA11/W11</f>
        <v>0.44551282051282054</v>
      </c>
      <c r="AZ11" s="83">
        <f>U11*AY11</f>
        <v>1535.2371794871797</v>
      </c>
      <c r="BA11" s="83">
        <v>1390</v>
      </c>
      <c r="BB11" s="81">
        <f>(AV11*1.305+100)*AY11</f>
        <v>776.1467312180202</v>
      </c>
      <c r="BC11" s="13">
        <f>1013*1.305+100</f>
        <v>1421.965</v>
      </c>
      <c r="BD11" s="13">
        <f>1258*1.305+100</f>
        <v>1741.6899999999998</v>
      </c>
      <c r="BE11" s="82">
        <f>G32/(AY11*BC11)</f>
        <v>3.0739004805902352</v>
      </c>
      <c r="BF11">
        <f>182.3*3600</f>
        <v>656280</v>
      </c>
      <c r="BG11">
        <v>776</v>
      </c>
      <c r="BI11">
        <v>4000</v>
      </c>
      <c r="BJ11" s="100">
        <f>(BI11*M11^2)/(2*R11*Y11)</f>
        <v>11.410481579966222</v>
      </c>
    </row>
    <row r="12" spans="2:53" ht="15.75">
      <c r="B12" s="1" t="s">
        <v>22</v>
      </c>
      <c r="C12" s="12">
        <v>60</v>
      </c>
      <c r="D12" s="9">
        <f>(C12/2)^2*PI()*2</f>
        <v>5654.8667764616275</v>
      </c>
      <c r="E12" s="25" t="s">
        <v>62</v>
      </c>
      <c r="F12" s="14" t="s">
        <v>62</v>
      </c>
      <c r="G12" s="12">
        <v>38.8</v>
      </c>
      <c r="H12" s="25" t="s">
        <v>62</v>
      </c>
      <c r="I12" s="25" t="s">
        <v>62</v>
      </c>
      <c r="J12" s="25" t="s">
        <v>62</v>
      </c>
      <c r="K12" s="25" t="s">
        <v>62</v>
      </c>
      <c r="L12" s="16">
        <v>725</v>
      </c>
      <c r="M12" s="28">
        <f t="shared" si="0"/>
        <v>24.166666666666668</v>
      </c>
      <c r="N12" s="16">
        <v>685</v>
      </c>
      <c r="O12" s="17">
        <v>1.15</v>
      </c>
      <c r="P12" s="24">
        <v>0.008</v>
      </c>
      <c r="Q12" s="16">
        <v>4.7</v>
      </c>
      <c r="R12" s="9">
        <v>50000</v>
      </c>
      <c r="S12" s="9">
        <v>25463</v>
      </c>
      <c r="T12" s="9">
        <v>15025</v>
      </c>
      <c r="U12" s="9">
        <f>3750*2</f>
        <v>7500</v>
      </c>
      <c r="V12" s="46">
        <f>U12*(1-0.305)-100</f>
        <v>5112.500000000001</v>
      </c>
      <c r="W12" s="32">
        <f>3000*2</f>
        <v>6000</v>
      </c>
      <c r="X12" s="46">
        <f>W12*(1-0.305)-100</f>
        <v>4070</v>
      </c>
      <c r="Y12" s="17">
        <f>R12/(D12*2)</f>
        <v>4.420970641441538</v>
      </c>
      <c r="Z12" s="16">
        <v>60</v>
      </c>
      <c r="AA12" s="9"/>
      <c r="AB12" s="37">
        <v>0</v>
      </c>
      <c r="AC12" s="22">
        <f t="shared" si="1"/>
        <v>0.002378</v>
      </c>
      <c r="AD12" s="36">
        <v>0</v>
      </c>
      <c r="AE12" s="22">
        <v>0</v>
      </c>
      <c r="AF12" s="22">
        <v>0</v>
      </c>
      <c r="AG12" s="36">
        <v>0</v>
      </c>
      <c r="AH12" s="22">
        <v>0</v>
      </c>
      <c r="AI12" s="22">
        <v>0</v>
      </c>
      <c r="AJ12" s="42">
        <v>0</v>
      </c>
      <c r="AK12" s="42">
        <v>0</v>
      </c>
      <c r="AL12" s="44">
        <v>0</v>
      </c>
      <c r="AM12" s="22">
        <v>0</v>
      </c>
      <c r="AN12" s="22">
        <v>0</v>
      </c>
      <c r="AO12" s="9">
        <v>0</v>
      </c>
      <c r="AP12" s="9">
        <v>0</v>
      </c>
      <c r="AQ12" s="9">
        <v>0</v>
      </c>
      <c r="AR12" s="9">
        <v>0</v>
      </c>
      <c r="AS12" s="13">
        <v>0</v>
      </c>
      <c r="AT12" s="13">
        <v>0</v>
      </c>
      <c r="AU12" s="13">
        <v>0</v>
      </c>
      <c r="AV12" s="30">
        <f t="shared" si="2"/>
        <v>0</v>
      </c>
      <c r="AX12" s="9"/>
      <c r="AZ12" s="83"/>
      <c r="BA12" s="83"/>
    </row>
    <row r="13" ht="12.75">
      <c r="V13" s="9"/>
    </row>
    <row r="14" spans="33:34" ht="12.75">
      <c r="AG14" s="48">
        <v>0</v>
      </c>
      <c r="AH14" t="s">
        <v>113</v>
      </c>
    </row>
    <row r="15" spans="33:34" ht="12.75">
      <c r="AG15" s="48">
        <f>AG14/60</f>
        <v>0</v>
      </c>
      <c r="AH15" t="s">
        <v>85</v>
      </c>
    </row>
    <row r="16" ht="13.5" thickBot="1"/>
    <row r="17" spans="3:8" ht="13.5" thickBot="1">
      <c r="C17" s="123" t="s">
        <v>133</v>
      </c>
      <c r="D17" s="128"/>
      <c r="E17" s="128"/>
      <c r="F17" s="128"/>
      <c r="G17" s="128"/>
      <c r="H17" s="124"/>
    </row>
    <row r="18" spans="3:8" ht="38.25">
      <c r="C18" s="7" t="s">
        <v>34</v>
      </c>
      <c r="D18" s="7" t="s">
        <v>64</v>
      </c>
      <c r="E18" s="7" t="s">
        <v>36</v>
      </c>
      <c r="F18" s="7" t="s">
        <v>135</v>
      </c>
      <c r="G18" s="7" t="s">
        <v>134</v>
      </c>
      <c r="H18" s="7" t="s">
        <v>134</v>
      </c>
    </row>
    <row r="19" spans="2:24" ht="12.75">
      <c r="B19" s="2" t="s">
        <v>117</v>
      </c>
      <c r="C19" s="2" t="s">
        <v>35</v>
      </c>
      <c r="D19" s="2" t="s">
        <v>23</v>
      </c>
      <c r="E19" s="2" t="s">
        <v>23</v>
      </c>
      <c r="F19" s="2" t="s">
        <v>130</v>
      </c>
      <c r="G19" s="2" t="s">
        <v>131</v>
      </c>
      <c r="H19" s="2" t="s">
        <v>166</v>
      </c>
      <c r="U19" s="48" t="s">
        <v>108</v>
      </c>
      <c r="V19" s="49">
        <f>(1+4)/2+(3+10)/2+2+(3+15)/2+(1+20)/2</f>
        <v>30.5</v>
      </c>
      <c r="W19" s="48" t="s">
        <v>110</v>
      </c>
      <c r="X19" s="48" t="s">
        <v>109</v>
      </c>
    </row>
    <row r="20" spans="2:7" ht="15.75">
      <c r="B20" s="1" t="s">
        <v>0</v>
      </c>
      <c r="C20" s="9">
        <v>102</v>
      </c>
      <c r="D20" s="13" t="s">
        <v>62</v>
      </c>
      <c r="E20" s="9">
        <v>14000</v>
      </c>
      <c r="F20" t="s">
        <v>62</v>
      </c>
      <c r="G20" t="s">
        <v>62</v>
      </c>
    </row>
    <row r="21" spans="2:7" ht="15.75">
      <c r="B21" s="1" t="s">
        <v>1</v>
      </c>
      <c r="C21" s="9">
        <v>65.1732181</v>
      </c>
      <c r="D21" s="13" t="s">
        <v>62</v>
      </c>
      <c r="E21" s="14" t="s">
        <v>62</v>
      </c>
      <c r="F21" t="s">
        <v>62</v>
      </c>
      <c r="G21" s="13" t="s">
        <v>62</v>
      </c>
    </row>
    <row r="22" spans="2:19" ht="15.75">
      <c r="B22" s="1" t="s">
        <v>63</v>
      </c>
      <c r="C22" s="9">
        <v>130.12959</v>
      </c>
      <c r="D22" s="13" t="s">
        <v>62</v>
      </c>
      <c r="E22" s="9">
        <v>15206.6929</v>
      </c>
      <c r="F22" t="s">
        <v>62</v>
      </c>
      <c r="G22" t="s">
        <v>62</v>
      </c>
      <c r="S22" s="9"/>
    </row>
    <row r="23" spans="2:8" ht="15.75">
      <c r="B23" s="86" t="s">
        <v>8</v>
      </c>
      <c r="C23" s="9">
        <v>158</v>
      </c>
      <c r="D23" s="9">
        <v>11500</v>
      </c>
      <c r="E23" s="9">
        <v>21000</v>
      </c>
      <c r="F23" s="13">
        <v>260</v>
      </c>
      <c r="G23" t="s">
        <v>136</v>
      </c>
      <c r="H23" s="87">
        <f>2+44/60</f>
        <v>2.7333333333333334</v>
      </c>
    </row>
    <row r="24" spans="2:16" ht="15.75">
      <c r="B24" s="86" t="s">
        <v>2</v>
      </c>
      <c r="C24" s="13">
        <v>158</v>
      </c>
      <c r="D24" s="13">
        <v>5400</v>
      </c>
      <c r="E24" s="9">
        <v>18700</v>
      </c>
      <c r="F24" s="13">
        <v>319</v>
      </c>
      <c r="G24" t="s">
        <v>132</v>
      </c>
      <c r="H24" s="87">
        <f>2+18/60</f>
        <v>2.3</v>
      </c>
      <c r="P24" s="85"/>
    </row>
    <row r="25" spans="2:7" ht="15.75">
      <c r="B25" s="1" t="s">
        <v>22</v>
      </c>
      <c r="C25" s="13">
        <v>170</v>
      </c>
      <c r="D25" s="13">
        <v>5500</v>
      </c>
      <c r="E25" s="73">
        <v>20000</v>
      </c>
      <c r="F25" t="s">
        <v>62</v>
      </c>
      <c r="G25" t="s">
        <v>62</v>
      </c>
    </row>
    <row r="26" spans="2:3" ht="12.75">
      <c r="B26" s="18"/>
      <c r="C26" s="18"/>
    </row>
    <row r="27" spans="2:3" ht="13.5" thickBot="1">
      <c r="B27" s="18"/>
      <c r="C27" s="18"/>
    </row>
    <row r="28" spans="2:9" ht="13.5" thickBot="1">
      <c r="B28" s="52"/>
      <c r="C28" s="125" t="s">
        <v>170</v>
      </c>
      <c r="D28" s="126"/>
      <c r="E28" s="126"/>
      <c r="F28" s="126"/>
      <c r="G28" s="126"/>
      <c r="H28" s="126"/>
      <c r="I28" s="127"/>
    </row>
    <row r="29" spans="2:9" ht="12.75">
      <c r="B29" s="18"/>
      <c r="C29" s="18" t="s">
        <v>176</v>
      </c>
      <c r="D29" s="18" t="s">
        <v>176</v>
      </c>
      <c r="E29" s="18" t="s">
        <v>171</v>
      </c>
      <c r="F29" t="s">
        <v>172</v>
      </c>
      <c r="G29" t="s">
        <v>173</v>
      </c>
      <c r="H29" t="s">
        <v>174</v>
      </c>
      <c r="I29" t="s">
        <v>175</v>
      </c>
    </row>
    <row r="30" spans="2:10" ht="12.75">
      <c r="B30" s="2" t="s">
        <v>117</v>
      </c>
      <c r="C30" s="2" t="s">
        <v>23</v>
      </c>
      <c r="D30" s="2" t="s">
        <v>130</v>
      </c>
      <c r="E30" s="80" t="s">
        <v>24</v>
      </c>
      <c r="F30" s="80" t="s">
        <v>24</v>
      </c>
      <c r="G30" s="80" t="s">
        <v>24</v>
      </c>
      <c r="H30" s="80" t="s">
        <v>24</v>
      </c>
      <c r="I30" s="80" t="s">
        <v>24</v>
      </c>
      <c r="J30" s="2"/>
    </row>
    <row r="31" spans="2:10" ht="15.75">
      <c r="B31" s="86" t="s">
        <v>8</v>
      </c>
      <c r="C31" s="92">
        <f>(BF10/BG10)*G31</f>
        <v>1487996.3691912708</v>
      </c>
      <c r="D31" s="93">
        <f>C31*0.000164578834</f>
        <v>244.89270743773287</v>
      </c>
      <c r="E31" s="90">
        <f>T10</f>
        <v>2442</v>
      </c>
      <c r="F31" s="91">
        <f>(10/60)*AZ10</f>
        <v>289.16999999999996</v>
      </c>
      <c r="G31" s="91">
        <f>E31-F31-H31</f>
        <v>1908.6299999999999</v>
      </c>
      <c r="H31" s="91">
        <f>0.1*T10</f>
        <v>244.20000000000002</v>
      </c>
      <c r="I31" s="91">
        <f>F31+G31+H31</f>
        <v>2441.9999999999995</v>
      </c>
      <c r="J31" s="89"/>
    </row>
    <row r="32" spans="2:10" ht="15.75">
      <c r="B32" s="86" t="s">
        <v>2</v>
      </c>
      <c r="C32" s="92">
        <f>(BF11/BG11)*G32</f>
        <v>1646896.718180016</v>
      </c>
      <c r="D32" s="93">
        <f>C32*0.000164578834</f>
        <v>271.0443415964936</v>
      </c>
      <c r="E32" s="90">
        <f>T11</f>
        <v>2448</v>
      </c>
      <c r="F32" s="91">
        <f>(10/60)*AZ11</f>
        <v>255.87286324786328</v>
      </c>
      <c r="G32" s="91">
        <f>E32-F32-H32</f>
        <v>1947.3271367521368</v>
      </c>
      <c r="H32" s="91">
        <f>0.1*T11</f>
        <v>244.8</v>
      </c>
      <c r="I32" s="91">
        <f>F32+G32+H32</f>
        <v>2448</v>
      </c>
      <c r="J32" s="89"/>
    </row>
    <row r="33" spans="2:15" ht="12.75">
      <c r="B33" s="18"/>
      <c r="C33" s="88"/>
      <c r="D33" s="88"/>
      <c r="E33" s="89"/>
      <c r="F33" s="89"/>
      <c r="G33" s="89"/>
      <c r="H33" s="89"/>
      <c r="I33" s="89"/>
      <c r="J33" s="89"/>
      <c r="O33" s="82"/>
    </row>
    <row r="34" spans="2:4" ht="12.75">
      <c r="B34" s="18"/>
      <c r="C34" s="18"/>
      <c r="D34" s="18"/>
    </row>
    <row r="35" spans="2:3" ht="12.75">
      <c r="B35" s="18"/>
      <c r="C35" s="18"/>
    </row>
    <row r="36" spans="2:3" ht="12.75">
      <c r="B36" s="18"/>
      <c r="C36" s="18"/>
    </row>
    <row r="37" spans="2:3" ht="12.75">
      <c r="B37" s="18"/>
      <c r="C37" s="18"/>
    </row>
    <row r="38" spans="2:3" ht="12.75">
      <c r="B38" s="18"/>
      <c r="C38" s="18"/>
    </row>
    <row r="39" spans="2:3" ht="12.75">
      <c r="B39" s="18"/>
      <c r="C39" s="18"/>
    </row>
    <row r="40" spans="2:3" ht="12.75">
      <c r="B40" s="18"/>
      <c r="C40" s="18"/>
    </row>
    <row r="41" spans="2:3" ht="12.75">
      <c r="B41" s="18"/>
      <c r="C41" s="18"/>
    </row>
    <row r="42" spans="2:3" ht="12.75">
      <c r="B42" s="18"/>
      <c r="C42" s="18"/>
    </row>
    <row r="43" spans="2:3" ht="12.75">
      <c r="B43" s="18"/>
      <c r="C43" s="18"/>
    </row>
    <row r="44" spans="2:3" ht="12.75">
      <c r="B44" s="18"/>
      <c r="C44" s="18"/>
    </row>
    <row r="45" spans="2:3" ht="12.75">
      <c r="B45" s="18"/>
      <c r="C45" s="18"/>
    </row>
    <row r="46" spans="2:3" ht="12.75">
      <c r="B46" s="18"/>
      <c r="C46" s="18"/>
    </row>
    <row r="47" spans="2:3" ht="12.75">
      <c r="B47" s="18"/>
      <c r="C47" s="18"/>
    </row>
  </sheetData>
  <mergeCells count="6">
    <mergeCell ref="BI4:BJ4"/>
    <mergeCell ref="C28:I28"/>
    <mergeCell ref="AY4:BG4"/>
    <mergeCell ref="C17:H17"/>
    <mergeCell ref="C4:Z4"/>
    <mergeCell ref="AB4:AW4"/>
  </mergeCells>
  <printOptions/>
  <pageMargins left="0.75" right="0.75" top="1" bottom="1" header="0.5" footer="0.5"/>
  <pageSetup horizontalDpi="200" verticalDpi="2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D62"/>
  <sheetViews>
    <sheetView workbookViewId="0" topLeftCell="A1">
      <selection activeCell="B52" sqref="B52:D52"/>
    </sheetView>
  </sheetViews>
  <sheetFormatPr defaultColWidth="9.140625" defaultRowHeight="12.75"/>
  <cols>
    <col min="2" max="2" width="37.57421875" style="0" customWidth="1"/>
  </cols>
  <sheetData>
    <row r="2" ht="12.75">
      <c r="B2" t="s">
        <v>9</v>
      </c>
    </row>
    <row r="45" spans="2:4" ht="12.75">
      <c r="B45" s="129" t="s">
        <v>143</v>
      </c>
      <c r="C45" s="130"/>
      <c r="D45" s="131"/>
    </row>
    <row r="46" spans="2:4" ht="12.75">
      <c r="B46" s="74"/>
      <c r="C46" s="77" t="s">
        <v>148</v>
      </c>
      <c r="D46" s="77" t="s">
        <v>153</v>
      </c>
    </row>
    <row r="47" spans="2:4" ht="21">
      <c r="B47" s="75" t="s">
        <v>144</v>
      </c>
      <c r="C47" s="78" t="s">
        <v>149</v>
      </c>
      <c r="D47" s="78" t="s">
        <v>154</v>
      </c>
    </row>
    <row r="48" spans="2:4" ht="21">
      <c r="B48" s="75" t="s">
        <v>145</v>
      </c>
      <c r="C48" s="78" t="s">
        <v>150</v>
      </c>
      <c r="D48" s="78" t="s">
        <v>155</v>
      </c>
    </row>
    <row r="49" spans="2:4" ht="21">
      <c r="B49" s="75" t="s">
        <v>146</v>
      </c>
      <c r="C49" s="78" t="s">
        <v>151</v>
      </c>
      <c r="D49" s="78" t="s">
        <v>156</v>
      </c>
    </row>
    <row r="50" spans="2:4" ht="21">
      <c r="B50" s="75" t="s">
        <v>147</v>
      </c>
      <c r="C50" s="78" t="s">
        <v>152</v>
      </c>
      <c r="D50" s="78" t="s">
        <v>157</v>
      </c>
    </row>
    <row r="51" spans="2:4" ht="12.75">
      <c r="B51" s="76"/>
      <c r="C51" s="79"/>
      <c r="D51" s="79"/>
    </row>
    <row r="52" spans="2:4" ht="12.75">
      <c r="B52" s="132" t="s">
        <v>158</v>
      </c>
      <c r="C52" s="133"/>
      <c r="D52" s="134"/>
    </row>
    <row r="53" spans="2:4" ht="12.75">
      <c r="B53" s="135" t="s">
        <v>159</v>
      </c>
      <c r="C53" s="136"/>
      <c r="D53" s="137"/>
    </row>
    <row r="60" ht="12.75">
      <c r="B60" s="8"/>
    </row>
    <row r="61" ht="12.75">
      <c r="B61" s="8"/>
    </row>
    <row r="62" ht="12.75">
      <c r="B62" s="8"/>
    </row>
  </sheetData>
  <mergeCells count="3">
    <mergeCell ref="B45:D45"/>
    <mergeCell ref="B52:D52"/>
    <mergeCell ref="B53:D53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M30"/>
  <sheetViews>
    <sheetView zoomScale="70" zoomScaleNormal="70" workbookViewId="0" topLeftCell="A1">
      <selection activeCell="B4" sqref="B4:U71"/>
    </sheetView>
  </sheetViews>
  <sheetFormatPr defaultColWidth="9.140625" defaultRowHeight="12.75"/>
  <sheetData>
    <row r="2" ht="12.75">
      <c r="B2" t="s">
        <v>142</v>
      </c>
    </row>
    <row r="4" ht="18">
      <c r="B4" s="70" t="s">
        <v>141</v>
      </c>
    </row>
    <row r="29" spans="10:13" ht="12.75">
      <c r="J29" t="s">
        <v>137</v>
      </c>
      <c r="L29">
        <v>600</v>
      </c>
      <c r="M29" t="s">
        <v>138</v>
      </c>
    </row>
    <row r="30" spans="10:13" ht="12.75">
      <c r="J30" t="s">
        <v>140</v>
      </c>
      <c r="L30">
        <v>160</v>
      </c>
      <c r="M30" t="s">
        <v>139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K6"/>
  <sheetViews>
    <sheetView workbookViewId="0" topLeftCell="A1">
      <selection activeCell="B2" sqref="B2"/>
    </sheetView>
  </sheetViews>
  <sheetFormatPr defaultColWidth="9.140625" defaultRowHeight="12.75"/>
  <sheetData>
    <row r="2" ht="12.75">
      <c r="B2" t="s">
        <v>21</v>
      </c>
    </row>
    <row r="6" ht="12.75">
      <c r="K6" s="4"/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M4"/>
  <sheetViews>
    <sheetView workbookViewId="0" topLeftCell="A1">
      <selection activeCell="B2" sqref="B2"/>
    </sheetView>
  </sheetViews>
  <sheetFormatPr defaultColWidth="9.140625" defaultRowHeight="12.75"/>
  <sheetData>
    <row r="2" ht="12.75">
      <c r="B2" t="s">
        <v>9</v>
      </c>
    </row>
    <row r="4" ht="12.75">
      <c r="M4" s="4"/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I24"/>
  <sheetViews>
    <sheetView workbookViewId="0" topLeftCell="A1">
      <selection activeCell="B2" sqref="B2"/>
    </sheetView>
  </sheetViews>
  <sheetFormatPr defaultColWidth="9.140625" defaultRowHeight="12.75"/>
  <sheetData>
    <row r="2" ht="18">
      <c r="B2" s="70" t="s">
        <v>124</v>
      </c>
    </row>
    <row r="3" spans="2:9" ht="15">
      <c r="B3" s="5" t="s">
        <v>10</v>
      </c>
      <c r="C3" s="3"/>
      <c r="D3" s="3"/>
      <c r="E3" s="3"/>
      <c r="F3" s="3"/>
      <c r="G3" s="3"/>
      <c r="H3" s="3"/>
      <c r="I3" s="138"/>
    </row>
    <row r="4" spans="2:9" ht="12.75">
      <c r="B4" s="3"/>
      <c r="C4" s="3"/>
      <c r="D4" s="3"/>
      <c r="E4" s="3"/>
      <c r="F4" s="3"/>
      <c r="G4" s="3"/>
      <c r="H4" s="3"/>
      <c r="I4" s="138"/>
    </row>
    <row r="5" spans="2:9" ht="15">
      <c r="B5" s="5" t="s">
        <v>11</v>
      </c>
      <c r="C5" s="3"/>
      <c r="D5" s="3"/>
      <c r="E5" s="3"/>
      <c r="F5" s="3"/>
      <c r="G5" s="3"/>
      <c r="H5" s="3"/>
      <c r="I5" s="138"/>
    </row>
    <row r="6" spans="2:9" ht="12.75">
      <c r="B6" s="3"/>
      <c r="C6" s="3"/>
      <c r="D6" s="3"/>
      <c r="E6" s="3"/>
      <c r="F6" s="3"/>
      <c r="G6" s="3"/>
      <c r="H6" s="3"/>
      <c r="I6" s="138"/>
    </row>
    <row r="7" spans="2:9" ht="15">
      <c r="B7" s="5" t="s">
        <v>12</v>
      </c>
      <c r="C7" s="3"/>
      <c r="D7" s="3"/>
      <c r="E7" s="3"/>
      <c r="F7" s="3"/>
      <c r="G7" s="3"/>
      <c r="H7" s="3"/>
      <c r="I7" s="138"/>
    </row>
    <row r="8" spans="2:9" ht="12.75">
      <c r="B8" s="3"/>
      <c r="C8" s="3"/>
      <c r="D8" s="3"/>
      <c r="E8" s="3"/>
      <c r="F8" s="3"/>
      <c r="G8" s="3"/>
      <c r="H8" s="3"/>
      <c r="I8" s="138"/>
    </row>
    <row r="9" spans="2:9" ht="17.25">
      <c r="B9" s="5" t="s">
        <v>13</v>
      </c>
      <c r="C9" s="3"/>
      <c r="D9" s="3"/>
      <c r="E9" s="3"/>
      <c r="F9" s="3"/>
      <c r="G9" s="3"/>
      <c r="H9" s="3"/>
      <c r="I9" s="138"/>
    </row>
    <row r="10" spans="2:9" ht="12.75">
      <c r="B10" s="3"/>
      <c r="C10" s="3"/>
      <c r="D10" s="3"/>
      <c r="E10" s="3"/>
      <c r="F10" s="3"/>
      <c r="G10" s="3"/>
      <c r="H10" s="3"/>
      <c r="I10" s="138"/>
    </row>
    <row r="11" spans="2:9" ht="17.25">
      <c r="B11" s="5" t="s">
        <v>14</v>
      </c>
      <c r="C11" s="3"/>
      <c r="D11" s="3"/>
      <c r="E11" s="3"/>
      <c r="F11" s="3"/>
      <c r="G11" s="3"/>
      <c r="H11" s="3"/>
      <c r="I11" s="138"/>
    </row>
    <row r="12" spans="2:9" ht="12.75">
      <c r="B12" s="3"/>
      <c r="C12" s="3"/>
      <c r="D12" s="3"/>
      <c r="E12" s="3"/>
      <c r="F12" s="3"/>
      <c r="G12" s="3"/>
      <c r="H12" s="3"/>
      <c r="I12" s="138"/>
    </row>
    <row r="13" spans="2:9" ht="15">
      <c r="B13" s="5" t="s">
        <v>15</v>
      </c>
      <c r="C13" s="3"/>
      <c r="D13" s="3"/>
      <c r="E13" s="3"/>
      <c r="F13" s="3"/>
      <c r="G13" s="3"/>
      <c r="H13" s="3"/>
      <c r="I13" s="138"/>
    </row>
    <row r="14" spans="2:9" ht="12.75">
      <c r="B14" s="3"/>
      <c r="C14" s="3"/>
      <c r="D14" s="3"/>
      <c r="E14" s="3"/>
      <c r="F14" s="3"/>
      <c r="G14" s="3"/>
      <c r="H14" s="3"/>
      <c r="I14" s="138"/>
    </row>
    <row r="15" spans="2:9" ht="15">
      <c r="B15" s="5" t="s">
        <v>16</v>
      </c>
      <c r="C15" s="3"/>
      <c r="D15" s="3"/>
      <c r="E15" s="3"/>
      <c r="F15" s="3"/>
      <c r="G15" s="3"/>
      <c r="H15" s="3"/>
      <c r="I15" s="138"/>
    </row>
    <row r="16" spans="2:9" ht="12.75">
      <c r="B16" s="3"/>
      <c r="C16" s="3"/>
      <c r="D16" s="3"/>
      <c r="E16" s="3"/>
      <c r="F16" s="3"/>
      <c r="G16" s="3"/>
      <c r="H16" s="3"/>
      <c r="I16" s="138"/>
    </row>
    <row r="17" spans="2:9" ht="15">
      <c r="B17" s="5" t="s">
        <v>17</v>
      </c>
      <c r="C17" s="3"/>
      <c r="D17" s="3"/>
      <c r="E17" s="3"/>
      <c r="F17" s="3"/>
      <c r="G17" s="3"/>
      <c r="H17" s="3"/>
      <c r="I17" s="138"/>
    </row>
    <row r="18" spans="2:9" ht="12.75">
      <c r="B18" s="3"/>
      <c r="C18" s="3"/>
      <c r="D18" s="3"/>
      <c r="E18" s="3"/>
      <c r="F18" s="3"/>
      <c r="G18" s="3"/>
      <c r="H18" s="3"/>
      <c r="I18" s="138"/>
    </row>
    <row r="19" spans="2:9" ht="15">
      <c r="B19" s="5" t="s">
        <v>18</v>
      </c>
      <c r="C19" s="3"/>
      <c r="D19" s="3"/>
      <c r="E19" s="3"/>
      <c r="F19" s="3"/>
      <c r="G19" s="3"/>
      <c r="H19" s="3"/>
      <c r="I19" s="138"/>
    </row>
    <row r="20" spans="2:8" ht="12.75">
      <c r="B20" s="3"/>
      <c r="C20" s="3"/>
      <c r="D20" s="3"/>
      <c r="E20" s="3"/>
      <c r="F20" s="3"/>
      <c r="G20" s="3"/>
      <c r="H20" s="3"/>
    </row>
    <row r="21" spans="2:8" ht="15">
      <c r="B21" s="5" t="s">
        <v>19</v>
      </c>
      <c r="C21" s="3"/>
      <c r="D21" s="3"/>
      <c r="E21" s="3"/>
      <c r="F21" s="3"/>
      <c r="G21" s="3"/>
      <c r="H21" s="3"/>
    </row>
    <row r="22" spans="2:8" ht="12.75">
      <c r="B22" s="3"/>
      <c r="C22" s="3"/>
      <c r="D22" s="3"/>
      <c r="E22" s="3"/>
      <c r="F22" s="3"/>
      <c r="G22" s="3"/>
      <c r="H22" s="3"/>
    </row>
    <row r="23" spans="2:8" ht="12.75">
      <c r="B23" s="3"/>
      <c r="C23" s="3"/>
      <c r="D23" s="3"/>
      <c r="E23" s="3"/>
      <c r="F23" s="3"/>
      <c r="G23" s="3"/>
      <c r="H23" s="3"/>
    </row>
    <row r="24" spans="2:8" ht="12.75">
      <c r="B24" s="6" t="s">
        <v>20</v>
      </c>
      <c r="C24" s="3"/>
      <c r="D24" s="3"/>
      <c r="E24" s="3"/>
      <c r="F24" s="3"/>
      <c r="G24" s="3"/>
      <c r="H24" s="3"/>
    </row>
  </sheetData>
  <mergeCells count="1">
    <mergeCell ref="I3:I19"/>
  </mergeCells>
  <hyperlinks>
    <hyperlink ref="B24" r:id="rId1" display="http://www.hothelicopters.com/schweizerfltman.htm"/>
  </hyperlinks>
  <printOptions/>
  <pageMargins left="0.75" right="0.75" top="1" bottom="1" header="0.5" footer="0.5"/>
  <pageSetup horizontalDpi="200" verticalDpi="200" orientation="portrait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B1:L34"/>
  <sheetViews>
    <sheetView workbookViewId="0" topLeftCell="A1">
      <selection activeCell="B1" sqref="B1"/>
    </sheetView>
  </sheetViews>
  <sheetFormatPr defaultColWidth="9.140625" defaultRowHeight="12.75"/>
  <sheetData>
    <row r="1" ht="12.75">
      <c r="B1" t="s">
        <v>119</v>
      </c>
    </row>
    <row r="3" ht="23.25">
      <c r="B3" s="66" t="s">
        <v>120</v>
      </c>
    </row>
    <row r="4" spans="2:10" ht="12.75">
      <c r="B4" s="3" t="s">
        <v>38</v>
      </c>
      <c r="C4" s="3"/>
      <c r="D4" s="3"/>
      <c r="E4" s="3"/>
      <c r="F4" s="3"/>
      <c r="G4" s="3"/>
      <c r="H4" s="3"/>
      <c r="I4" s="3"/>
      <c r="J4" s="3"/>
    </row>
    <row r="5" spans="2:10" ht="12.75">
      <c r="B5" s="3" t="s">
        <v>39</v>
      </c>
      <c r="C5" s="3"/>
      <c r="D5" s="3"/>
      <c r="E5" s="3"/>
      <c r="F5" s="3"/>
      <c r="G5" s="3"/>
      <c r="H5" s="3"/>
      <c r="I5" s="3"/>
      <c r="J5" s="3"/>
    </row>
    <row r="6" spans="2:10" ht="12.75">
      <c r="B6" s="3" t="s">
        <v>40</v>
      </c>
      <c r="C6" s="3"/>
      <c r="D6" s="3"/>
      <c r="E6" s="3"/>
      <c r="F6" s="3"/>
      <c r="G6" s="3"/>
      <c r="H6" s="3"/>
      <c r="I6" s="3"/>
      <c r="J6" s="3"/>
    </row>
    <row r="7" spans="2:10" ht="12.75">
      <c r="B7" s="3" t="s">
        <v>41</v>
      </c>
      <c r="C7" s="3"/>
      <c r="D7" s="3"/>
      <c r="E7" s="3"/>
      <c r="F7" s="3"/>
      <c r="G7" s="3"/>
      <c r="H7" s="3"/>
      <c r="I7" s="3"/>
      <c r="J7" s="3"/>
    </row>
    <row r="8" spans="2:10" ht="12.75">
      <c r="B8" s="3" t="s">
        <v>42</v>
      </c>
      <c r="C8" s="3"/>
      <c r="D8" s="3"/>
      <c r="E8" s="3"/>
      <c r="F8" s="3"/>
      <c r="G8" s="3"/>
      <c r="H8" s="3"/>
      <c r="I8" s="3"/>
      <c r="J8" s="3"/>
    </row>
    <row r="9" spans="2:10" ht="12.75">
      <c r="B9" s="3" t="s">
        <v>43</v>
      </c>
      <c r="C9" s="3"/>
      <c r="D9" s="3"/>
      <c r="E9" s="3"/>
      <c r="F9" s="3"/>
      <c r="G9" s="3"/>
      <c r="H9" s="3"/>
      <c r="I9" s="3"/>
      <c r="J9" s="3"/>
    </row>
    <row r="10" spans="2:10" ht="12.75">
      <c r="B10" s="3" t="s">
        <v>44</v>
      </c>
      <c r="C10" s="3"/>
      <c r="D10" s="3"/>
      <c r="E10" s="3"/>
      <c r="F10" s="3"/>
      <c r="G10" s="3"/>
      <c r="H10" s="3"/>
      <c r="I10" s="3"/>
      <c r="J10" s="3"/>
    </row>
    <row r="11" spans="2:10" ht="12.75">
      <c r="B11" s="3" t="s">
        <v>45</v>
      </c>
      <c r="C11" s="3"/>
      <c r="D11" s="3"/>
      <c r="E11" s="3"/>
      <c r="F11" s="3"/>
      <c r="G11" s="3"/>
      <c r="H11" s="3"/>
      <c r="I11" s="3"/>
      <c r="J11" s="3"/>
    </row>
    <row r="12" spans="2:10" ht="12.75">
      <c r="B12" s="3" t="s">
        <v>46</v>
      </c>
      <c r="C12" s="3"/>
      <c r="D12" s="3"/>
      <c r="E12" s="3"/>
      <c r="F12" s="3"/>
      <c r="G12" s="3"/>
      <c r="H12" s="3"/>
      <c r="I12" s="3"/>
      <c r="J12" s="3"/>
    </row>
    <row r="13" spans="2:10" ht="12.75">
      <c r="B13" s="3" t="s">
        <v>47</v>
      </c>
      <c r="C13" s="3"/>
      <c r="D13" s="3"/>
      <c r="E13" s="3"/>
      <c r="F13" s="3"/>
      <c r="G13" s="3"/>
      <c r="H13" s="3"/>
      <c r="I13" s="3"/>
      <c r="J13" s="3"/>
    </row>
    <row r="14" spans="2:10" ht="12.75">
      <c r="B14" s="3" t="s">
        <v>48</v>
      </c>
      <c r="C14" s="3"/>
      <c r="D14" s="3"/>
      <c r="E14" s="3"/>
      <c r="F14" s="3"/>
      <c r="G14" s="3"/>
      <c r="H14" s="3"/>
      <c r="I14" s="3"/>
      <c r="J14" s="3"/>
    </row>
    <row r="15" spans="2:10" ht="12.75">
      <c r="B15" s="3" t="s">
        <v>49</v>
      </c>
      <c r="C15" s="3"/>
      <c r="D15" s="3"/>
      <c r="E15" s="3"/>
      <c r="F15" s="3"/>
      <c r="G15" s="3"/>
      <c r="H15" s="3"/>
      <c r="I15" s="3"/>
      <c r="J15" s="3"/>
    </row>
    <row r="16" spans="2:10" ht="12.75">
      <c r="B16" s="3" t="s">
        <v>50</v>
      </c>
      <c r="C16" s="3"/>
      <c r="D16" s="3"/>
      <c r="E16" s="3"/>
      <c r="F16" s="3"/>
      <c r="G16" s="3"/>
      <c r="H16" s="3"/>
      <c r="I16" s="3"/>
      <c r="J16" s="3"/>
    </row>
    <row r="17" spans="2:10" ht="12.75">
      <c r="B17" s="3" t="s">
        <v>51</v>
      </c>
      <c r="C17" s="3"/>
      <c r="D17" s="3"/>
      <c r="E17" s="3"/>
      <c r="F17" s="3"/>
      <c r="G17" s="3"/>
      <c r="H17" s="3"/>
      <c r="I17" s="3"/>
      <c r="J17" s="3"/>
    </row>
    <row r="18" spans="2:10" ht="12.75">
      <c r="B18" s="3" t="s">
        <v>52</v>
      </c>
      <c r="C18" s="3"/>
      <c r="D18" s="3"/>
      <c r="E18" s="3"/>
      <c r="F18" s="3"/>
      <c r="G18" s="3"/>
      <c r="H18" s="3"/>
      <c r="I18" s="3"/>
      <c r="J18" s="3"/>
    </row>
    <row r="19" spans="2:10" ht="12.75">
      <c r="B19" s="3" t="s">
        <v>53</v>
      </c>
      <c r="C19" s="3"/>
      <c r="D19" s="3"/>
      <c r="E19" s="3"/>
      <c r="F19" s="3"/>
      <c r="G19" s="3"/>
      <c r="H19" s="3"/>
      <c r="I19" s="3"/>
      <c r="J19" s="3"/>
    </row>
    <row r="20" spans="2:10" ht="12.75">
      <c r="B20" s="3"/>
      <c r="C20" s="3"/>
      <c r="D20" s="3"/>
      <c r="E20" s="3"/>
      <c r="F20" s="3"/>
      <c r="G20" s="3"/>
      <c r="H20" s="3"/>
      <c r="I20" s="3"/>
      <c r="J20" s="3"/>
    </row>
    <row r="21" spans="2:10" ht="12.75">
      <c r="B21" s="3" t="s">
        <v>54</v>
      </c>
      <c r="C21" s="3"/>
      <c r="D21" s="3"/>
      <c r="E21" s="3"/>
      <c r="F21" s="3"/>
      <c r="G21" s="3"/>
      <c r="H21" s="3"/>
      <c r="I21" s="3"/>
      <c r="J21" s="3"/>
    </row>
    <row r="22" spans="2:10" ht="12.75">
      <c r="B22" s="3" t="s">
        <v>55</v>
      </c>
      <c r="C22" s="3"/>
      <c r="D22" s="3"/>
      <c r="E22" s="3"/>
      <c r="F22" s="3"/>
      <c r="G22" s="3"/>
      <c r="H22" s="3"/>
      <c r="I22" s="3"/>
      <c r="J22" s="3"/>
    </row>
    <row r="23" spans="2:10" ht="12.75">
      <c r="B23" s="3" t="s">
        <v>56</v>
      </c>
      <c r="C23" s="3"/>
      <c r="D23" s="3"/>
      <c r="E23" s="3"/>
      <c r="F23" s="3"/>
      <c r="G23" s="3"/>
      <c r="H23" s="3"/>
      <c r="I23" s="3"/>
      <c r="J23" s="3"/>
    </row>
    <row r="24" spans="2:10" ht="12.75">
      <c r="B24" s="3" t="s">
        <v>57</v>
      </c>
      <c r="C24" s="3"/>
      <c r="D24" s="3"/>
      <c r="E24" s="3"/>
      <c r="F24" s="3"/>
      <c r="G24" s="3"/>
      <c r="H24" s="3"/>
      <c r="I24" s="3"/>
      <c r="J24" s="3"/>
    </row>
    <row r="25" spans="2:10" ht="12.75">
      <c r="B25" s="3" t="s">
        <v>58</v>
      </c>
      <c r="C25" s="3"/>
      <c r="D25" s="3"/>
      <c r="E25" s="3"/>
      <c r="F25" s="3"/>
      <c r="G25" s="3"/>
      <c r="H25" s="3"/>
      <c r="I25" s="3"/>
      <c r="J25" s="3"/>
    </row>
    <row r="26" spans="2:10" ht="12.75">
      <c r="B26" s="3" t="s">
        <v>59</v>
      </c>
      <c r="C26" s="3"/>
      <c r="D26" s="3"/>
      <c r="E26" s="3"/>
      <c r="F26" s="3"/>
      <c r="G26" s="3"/>
      <c r="H26" s="3"/>
      <c r="I26" s="3"/>
      <c r="J26" s="3"/>
    </row>
    <row r="27" spans="2:10" ht="12.75">
      <c r="B27" s="3" t="s">
        <v>60</v>
      </c>
      <c r="C27" s="3"/>
      <c r="D27" s="3"/>
      <c r="E27" s="3"/>
      <c r="F27" s="3"/>
      <c r="G27" s="3"/>
      <c r="H27" s="3"/>
      <c r="I27" s="3"/>
      <c r="J27" s="3"/>
    </row>
    <row r="28" spans="2:10" ht="12.75">
      <c r="B28" s="3" t="s">
        <v>61</v>
      </c>
      <c r="C28" s="3"/>
      <c r="D28" s="3"/>
      <c r="E28" s="3"/>
      <c r="F28" s="3"/>
      <c r="G28" s="3"/>
      <c r="H28" s="3"/>
      <c r="I28" s="3"/>
      <c r="J28" s="3"/>
    </row>
    <row r="34" ht="12.75">
      <c r="L34" s="10"/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Duffy</cp:lastModifiedBy>
  <dcterms:created xsi:type="dcterms:W3CDTF">1996-10-14T23:33:28Z</dcterms:created>
  <dcterms:modified xsi:type="dcterms:W3CDTF">2006-12-25T18:49:02Z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